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各部・各課利用\09健康福祉部\保険年金課\キャビネット\共用キャビネット\０３＿保険税担当\Ｈ＿各種計算Excel表（保険税担当）\★　保険税試算シート　★\公開試算シート作業用\"/>
    </mc:Choice>
  </mc:AlternateContent>
  <bookViews>
    <workbookView xWindow="0" yWindow="0" windowWidth="20496" windowHeight="7716" tabRatio="757"/>
  </bookViews>
  <sheets>
    <sheet name="この試算表の使い方" sheetId="8" r:id="rId1"/>
    <sheet name="基礎情報入力シート" sheetId="1" r:id="rId2"/>
    <sheet name="税額試算書" sheetId="7" r:id="rId3"/>
    <sheet name="参考資料" sheetId="9" r:id="rId4"/>
    <sheet name="税額計算情報" sheetId="4" r:id="rId5"/>
    <sheet name="作業・変換" sheetId="3"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9" i="3" l="1"/>
  <c r="D3" i="1" l="1"/>
  <c r="D6" i="1" l="1"/>
  <c r="E4" i="1" l="1"/>
  <c r="F4" i="1"/>
  <c r="G4" i="1"/>
  <c r="C88" i="3" l="1"/>
  <c r="G10" i="1" l="1"/>
  <c r="G3" i="4"/>
  <c r="H5" i="4" s="1"/>
  <c r="H4" i="4" l="1"/>
  <c r="U25" i="3"/>
  <c r="U26" i="3" s="1"/>
  <c r="Q25" i="3"/>
  <c r="Q26" i="3" s="1"/>
  <c r="M25" i="3"/>
  <c r="M26" i="3" s="1"/>
  <c r="I25" i="3"/>
  <c r="I26" i="3" s="1"/>
  <c r="U24" i="3"/>
  <c r="Q24" i="3"/>
  <c r="M24" i="3"/>
  <c r="I24" i="3"/>
  <c r="U23" i="3"/>
  <c r="Q23" i="3"/>
  <c r="M23" i="3"/>
  <c r="I23" i="3"/>
  <c r="U22" i="3"/>
  <c r="Q22" i="3"/>
  <c r="M22" i="3"/>
  <c r="I22" i="3"/>
  <c r="E25" i="3"/>
  <c r="E26" i="3" s="1"/>
  <c r="E24" i="3"/>
  <c r="E23" i="3"/>
  <c r="E22" i="3"/>
  <c r="U34" i="3"/>
  <c r="U35" i="3" s="1"/>
  <c r="Q34" i="3"/>
  <c r="Q35" i="3" s="1"/>
  <c r="M34" i="3"/>
  <c r="M35" i="3" s="1"/>
  <c r="I34" i="3"/>
  <c r="I35" i="3" s="1"/>
  <c r="U33" i="3"/>
  <c r="Q33" i="3"/>
  <c r="M33" i="3"/>
  <c r="I33" i="3"/>
  <c r="U32" i="3"/>
  <c r="Q32" i="3"/>
  <c r="M32" i="3"/>
  <c r="I32" i="3"/>
  <c r="U4" i="3"/>
  <c r="Q4" i="3"/>
  <c r="M4" i="3"/>
  <c r="I4" i="3"/>
  <c r="E4" i="3"/>
  <c r="E34" i="3"/>
  <c r="E35" i="3" s="1"/>
  <c r="E33" i="3"/>
  <c r="E32" i="3"/>
  <c r="U31" i="3"/>
  <c r="Q31" i="3"/>
  <c r="M31" i="3"/>
  <c r="I31" i="3"/>
  <c r="E31" i="3"/>
  <c r="U15" i="3"/>
  <c r="M15" i="3"/>
  <c r="Q15" i="3"/>
  <c r="T14" i="3"/>
  <c r="T15" i="3" s="1"/>
  <c r="P14" i="3"/>
  <c r="P15" i="3" s="1"/>
  <c r="U13" i="3"/>
  <c r="U14" i="3" s="1"/>
  <c r="Q13" i="3"/>
  <c r="Q14" i="3" s="1"/>
  <c r="M13" i="3"/>
  <c r="M14" i="3" s="1"/>
  <c r="U12" i="3"/>
  <c r="Q12" i="3"/>
  <c r="U11" i="3"/>
  <c r="Q11" i="3"/>
  <c r="U10" i="3"/>
  <c r="Q10" i="3"/>
  <c r="U5" i="3"/>
  <c r="Q5" i="3"/>
  <c r="L14" i="3"/>
  <c r="L15" i="3" s="1"/>
  <c r="M12" i="3"/>
  <c r="M11" i="3"/>
  <c r="M10" i="3"/>
  <c r="M5" i="3"/>
  <c r="H14" i="3"/>
  <c r="H15" i="3" s="1"/>
  <c r="I15" i="3"/>
  <c r="I13" i="3"/>
  <c r="I14" i="3" s="1"/>
  <c r="I12" i="3"/>
  <c r="I11" i="3"/>
  <c r="I10" i="3"/>
  <c r="I5" i="3"/>
  <c r="E15" i="3"/>
  <c r="D14" i="3"/>
  <c r="E13" i="3"/>
  <c r="E14" i="3" s="1"/>
  <c r="E12" i="3"/>
  <c r="E11" i="3"/>
  <c r="E10" i="3"/>
  <c r="E5" i="3"/>
  <c r="D15" i="3" l="1"/>
  <c r="N46" i="3"/>
  <c r="M46" i="3"/>
  <c r="L46" i="3"/>
  <c r="K46" i="3"/>
  <c r="J46" i="3"/>
  <c r="I46" i="3"/>
  <c r="H46" i="3"/>
  <c r="G46" i="3"/>
  <c r="F46" i="3"/>
  <c r="E46" i="3"/>
  <c r="D46" i="3"/>
  <c r="C46" i="3"/>
  <c r="C47" i="3"/>
  <c r="I28" i="8" l="1"/>
  <c r="I28" i="1" l="1"/>
  <c r="H1" i="1"/>
  <c r="C35" i="7"/>
  <c r="C36" i="7"/>
  <c r="C34" i="7"/>
  <c r="C31" i="7"/>
  <c r="C32" i="7"/>
  <c r="C30" i="7"/>
  <c r="C27" i="7"/>
  <c r="C28" i="7"/>
  <c r="C26" i="7"/>
  <c r="C23" i="7"/>
  <c r="C24" i="7"/>
  <c r="C22" i="7"/>
  <c r="C19" i="7"/>
  <c r="C20" i="7"/>
  <c r="C18" i="7"/>
  <c r="A8" i="7"/>
  <c r="A6" i="7"/>
  <c r="A4" i="7"/>
  <c r="B19" i="3"/>
  <c r="D4" i="3"/>
  <c r="D5" i="3" s="1"/>
  <c r="H4" i="3"/>
  <c r="H5" i="3" s="1"/>
  <c r="D10" i="1" s="1"/>
  <c r="L4" i="3"/>
  <c r="L5" i="3" s="1"/>
  <c r="P4" i="3"/>
  <c r="P5" i="3" s="1"/>
  <c r="F10" i="1" s="1"/>
  <c r="T4" i="3"/>
  <c r="T5" i="3" s="1"/>
  <c r="D10" i="3"/>
  <c r="H10" i="3"/>
  <c r="L10" i="3"/>
  <c r="P10" i="3"/>
  <c r="T10" i="3"/>
  <c r="D11" i="3"/>
  <c r="H11" i="3"/>
  <c r="L11" i="3"/>
  <c r="E10" i="1" s="1"/>
  <c r="P11" i="3"/>
  <c r="T11" i="3"/>
  <c r="D12" i="3"/>
  <c r="H12" i="3"/>
  <c r="L12" i="3"/>
  <c r="P12" i="3"/>
  <c r="T12" i="3"/>
  <c r="D13" i="3"/>
  <c r="H13" i="3"/>
  <c r="L13" i="3"/>
  <c r="P13" i="3"/>
  <c r="T13" i="3"/>
  <c r="D47" i="3"/>
  <c r="E47" i="3"/>
  <c r="F47" i="3"/>
  <c r="G47" i="3"/>
  <c r="H47" i="3"/>
  <c r="I47" i="3"/>
  <c r="J47" i="3"/>
  <c r="K47" i="3"/>
  <c r="L47" i="3"/>
  <c r="M47" i="3"/>
  <c r="N47" i="3"/>
  <c r="C48" i="3"/>
  <c r="D48" i="3"/>
  <c r="E48" i="3"/>
  <c r="F48" i="3"/>
  <c r="G48" i="3"/>
  <c r="H48" i="3"/>
  <c r="I48" i="3"/>
  <c r="J48" i="3"/>
  <c r="K48" i="3"/>
  <c r="L48" i="3"/>
  <c r="M48" i="3"/>
  <c r="N48" i="3"/>
  <c r="C49" i="3"/>
  <c r="D49" i="3"/>
  <c r="E49" i="3"/>
  <c r="F49" i="3"/>
  <c r="G49" i="3"/>
  <c r="H49" i="3"/>
  <c r="I18" i="7" s="1"/>
  <c r="I49" i="3"/>
  <c r="J49" i="3"/>
  <c r="K49" i="3"/>
  <c r="L49" i="3"/>
  <c r="M49" i="3"/>
  <c r="N49" i="3"/>
  <c r="A88" i="3"/>
  <c r="I89" i="3" s="1"/>
  <c r="J89" i="3" s="1"/>
  <c r="D100" i="3"/>
  <c r="A100" i="3" s="1"/>
  <c r="J22" i="7" l="1"/>
  <c r="J18" i="7"/>
  <c r="O22" i="7"/>
  <c r="O18" i="7"/>
  <c r="M18" i="7"/>
  <c r="M22" i="7"/>
  <c r="K22" i="7"/>
  <c r="K18" i="7"/>
  <c r="N18" i="7"/>
  <c r="N19" i="7" s="1"/>
  <c r="N22" i="7"/>
  <c r="N23" i="7" s="1"/>
  <c r="L18" i="7"/>
  <c r="L19" i="7" s="1"/>
  <c r="L22" i="7"/>
  <c r="L23" i="7" s="1"/>
  <c r="J23" i="7"/>
  <c r="J19" i="7"/>
  <c r="F18" i="7"/>
  <c r="F19" i="7" s="1"/>
  <c r="F22" i="7"/>
  <c r="F23" i="7" s="1"/>
  <c r="E18" i="7"/>
  <c r="E19" i="7" s="1"/>
  <c r="E22" i="7"/>
  <c r="E23" i="7" s="1"/>
  <c r="D18" i="7"/>
  <c r="D19" i="7" s="1"/>
  <c r="D22" i="7"/>
  <c r="D23" i="7" s="1"/>
  <c r="H18" i="7"/>
  <c r="H19" i="7" s="1"/>
  <c r="H22" i="7"/>
  <c r="H23" i="7" s="1"/>
  <c r="M19" i="7"/>
  <c r="M23" i="7"/>
  <c r="K19" i="7"/>
  <c r="K23" i="7"/>
  <c r="G18" i="7"/>
  <c r="G19" i="7" s="1"/>
  <c r="G22" i="7"/>
  <c r="G23" i="7" s="1"/>
  <c r="O23" i="7"/>
  <c r="D29" i="1"/>
  <c r="G29" i="1"/>
  <c r="C29" i="1"/>
  <c r="F29" i="1"/>
  <c r="E29" i="1"/>
  <c r="C10" i="1"/>
  <c r="B28" i="3"/>
  <c r="L34" i="7"/>
  <c r="L35" i="7" s="1"/>
  <c r="L30" i="7"/>
  <c r="L31" i="7" s="1"/>
  <c r="L26" i="7"/>
  <c r="L27" i="7" s="1"/>
  <c r="H34" i="7"/>
  <c r="H35" i="7" s="1"/>
  <c r="H30" i="7"/>
  <c r="H31" i="7" s="1"/>
  <c r="H26" i="7"/>
  <c r="H27" i="7" s="1"/>
  <c r="D34" i="7"/>
  <c r="D35" i="7" s="1"/>
  <c r="D30" i="7"/>
  <c r="D31" i="7" s="1"/>
  <c r="D26" i="7"/>
  <c r="D27" i="7" s="1"/>
  <c r="I34" i="7"/>
  <c r="I35" i="7" s="1"/>
  <c r="I30" i="7"/>
  <c r="I31" i="7" s="1"/>
  <c r="I26" i="7"/>
  <c r="I27" i="7" s="1"/>
  <c r="I22" i="7"/>
  <c r="I23" i="7" s="1"/>
  <c r="I19" i="7"/>
  <c r="O34" i="7"/>
  <c r="O35" i="7" s="1"/>
  <c r="O30" i="7"/>
  <c r="O31" i="7" s="1"/>
  <c r="O26" i="7"/>
  <c r="O27" i="7" s="1"/>
  <c r="O19" i="7"/>
  <c r="K34" i="7"/>
  <c r="K35" i="7" s="1"/>
  <c r="K30" i="7"/>
  <c r="K31" i="7" s="1"/>
  <c r="K26" i="7"/>
  <c r="K27" i="7" s="1"/>
  <c r="G34" i="7"/>
  <c r="G35" i="7" s="1"/>
  <c r="G30" i="7"/>
  <c r="G31" i="7" s="1"/>
  <c r="G26" i="7"/>
  <c r="G27" i="7" s="1"/>
  <c r="N34" i="7"/>
  <c r="N35" i="7" s="1"/>
  <c r="N30" i="7"/>
  <c r="N31" i="7" s="1"/>
  <c r="N26" i="7"/>
  <c r="N27" i="7" s="1"/>
  <c r="J34" i="7"/>
  <c r="J35" i="7" s="1"/>
  <c r="J30" i="7"/>
  <c r="J31" i="7" s="1"/>
  <c r="J26" i="7"/>
  <c r="J27" i="7" s="1"/>
  <c r="F34" i="7"/>
  <c r="F35" i="7" s="1"/>
  <c r="F30" i="7"/>
  <c r="F31" i="7" s="1"/>
  <c r="F26" i="7"/>
  <c r="F27" i="7" s="1"/>
  <c r="M34" i="7"/>
  <c r="M35" i="7" s="1"/>
  <c r="M30" i="7"/>
  <c r="M31" i="7" s="1"/>
  <c r="M26" i="7"/>
  <c r="M27" i="7" s="1"/>
  <c r="E34" i="7"/>
  <c r="E35" i="7" s="1"/>
  <c r="E30" i="7"/>
  <c r="E31" i="7" s="1"/>
  <c r="E26" i="7"/>
  <c r="E27" i="7" s="1"/>
  <c r="I99" i="3"/>
  <c r="J99" i="3" s="1"/>
  <c r="I95" i="3"/>
  <c r="J95" i="3" s="1"/>
  <c r="I94" i="3"/>
  <c r="J94" i="3" s="1"/>
  <c r="I98" i="3"/>
  <c r="J98" i="3" s="1"/>
  <c r="I91" i="3"/>
  <c r="J91" i="3" s="1"/>
  <c r="B100" i="3"/>
  <c r="F106" i="3" s="1"/>
  <c r="G106" i="3"/>
  <c r="I97" i="3"/>
  <c r="J97" i="3" s="1"/>
  <c r="I93" i="3"/>
  <c r="J93" i="3" s="1"/>
  <c r="H90" i="3"/>
  <c r="I90" i="3" s="1"/>
  <c r="J90" i="3" s="1"/>
  <c r="D99" i="3"/>
  <c r="I100" i="3"/>
  <c r="J100" i="3" s="1"/>
  <c r="I96" i="3"/>
  <c r="J96" i="3" s="1"/>
  <c r="I92" i="3"/>
  <c r="J92" i="3" s="1"/>
  <c r="A1" i="7"/>
  <c r="A12" i="7"/>
  <c r="C33" i="7"/>
  <c r="C29" i="7"/>
  <c r="C25" i="7"/>
  <c r="C21" i="7"/>
  <c r="C17" i="7"/>
  <c r="F33" i="7"/>
  <c r="F29" i="7"/>
  <c r="F25" i="7"/>
  <c r="F21" i="7"/>
  <c r="F17" i="7"/>
  <c r="B10" i="7" l="1"/>
  <c r="B89" i="3"/>
  <c r="B103" i="3" s="1"/>
  <c r="A99" i="3"/>
  <c r="B99" i="3"/>
  <c r="F105" i="3" s="1"/>
  <c r="G105" i="3"/>
  <c r="P34" i="7" l="1"/>
  <c r="O36" i="7"/>
  <c r="N24" i="7"/>
  <c r="M28" i="7"/>
  <c r="L28" i="7"/>
  <c r="K24" i="7"/>
  <c r="J20" i="7"/>
  <c r="H36" i="7"/>
  <c r="G32" i="7"/>
  <c r="F28" i="7"/>
  <c r="E28" i="7"/>
  <c r="D24" i="7"/>
  <c r="I36" i="7"/>
  <c r="G20" i="7" l="1"/>
  <c r="F32" i="7"/>
  <c r="K36" i="7"/>
  <c r="F20" i="7"/>
  <c r="K32" i="7"/>
  <c r="E24" i="7"/>
  <c r="F24" i="7"/>
  <c r="N28" i="7"/>
  <c r="O20" i="7"/>
  <c r="F36" i="7"/>
  <c r="G28" i="7"/>
  <c r="I24" i="7"/>
  <c r="O32" i="7"/>
  <c r="K20" i="7"/>
  <c r="L32" i="7"/>
  <c r="G36" i="7"/>
  <c r="L36" i="7"/>
  <c r="K28" i="7"/>
  <c r="D28" i="7"/>
  <c r="M32" i="7"/>
  <c r="J36" i="7"/>
  <c r="N32" i="7"/>
  <c r="M20" i="7"/>
  <c r="I20" i="7"/>
  <c r="E20" i="7"/>
  <c r="E36" i="7"/>
  <c r="N36" i="7"/>
  <c r="H28" i="7"/>
  <c r="L24" i="7"/>
  <c r="J28" i="7"/>
  <c r="O28" i="7"/>
  <c r="E32" i="7"/>
  <c r="I28" i="7"/>
  <c r="M24" i="7"/>
  <c r="J32" i="7"/>
  <c r="J24" i="7"/>
  <c r="G24" i="7"/>
  <c r="N20" i="7"/>
  <c r="D32" i="7"/>
  <c r="H24" i="7"/>
  <c r="D36" i="7"/>
  <c r="D20" i="7"/>
  <c r="L20" i="7"/>
  <c r="H20" i="7"/>
  <c r="M36" i="7"/>
  <c r="H32" i="7"/>
  <c r="I32" i="7"/>
  <c r="O24" i="7"/>
  <c r="P30" i="7"/>
  <c r="P26" i="7"/>
  <c r="P22" i="7"/>
  <c r="P24" i="7" l="1"/>
  <c r="P32" i="7"/>
  <c r="P28" i="7"/>
  <c r="P35" i="7"/>
  <c r="P36" i="7"/>
  <c r="P31" i="7"/>
  <c r="P27" i="7"/>
  <c r="P23" i="7"/>
  <c r="K28" i="1"/>
  <c r="P18" i="7" l="1"/>
  <c r="D28" i="1"/>
  <c r="S21" i="7" s="1"/>
  <c r="E28" i="1"/>
  <c r="S25" i="7" s="1"/>
  <c r="F28" i="1"/>
  <c r="S29" i="7" s="1"/>
  <c r="G28" i="1"/>
  <c r="S33" i="7" s="1"/>
  <c r="C28" i="1"/>
  <c r="S17" i="7" s="1"/>
  <c r="P19" i="7" l="1"/>
  <c r="A1" i="4" l="1"/>
  <c r="D3" i="4" l="1"/>
  <c r="D4" i="4"/>
  <c r="D5" i="4"/>
  <c r="G5" i="4"/>
  <c r="G4" i="4"/>
  <c r="H3" i="4"/>
  <c r="C5" i="4"/>
  <c r="R16" i="7" s="1"/>
  <c r="B5" i="4"/>
  <c r="C4" i="4"/>
  <c r="R15" i="7" s="1"/>
  <c r="B4" i="4"/>
  <c r="C3" i="4"/>
  <c r="R14" i="7" s="1"/>
  <c r="B3" i="4"/>
  <c r="G6" i="1" l="1"/>
  <c r="F6" i="1"/>
  <c r="E6" i="1"/>
  <c r="A21" i="7" l="1"/>
  <c r="G3" i="7"/>
  <c r="A25" i="7"/>
  <c r="J3" i="7"/>
  <c r="A29" i="7"/>
  <c r="M3" i="7"/>
  <c r="A33" i="7"/>
  <c r="P3" i="7"/>
  <c r="C12" i="1" l="1"/>
  <c r="C3" i="1"/>
  <c r="D30" i="3" l="1"/>
  <c r="D31" i="3" s="1"/>
  <c r="D21" i="3"/>
  <c r="D22" i="3" s="1"/>
  <c r="C14" i="1" s="1"/>
  <c r="D23" i="3"/>
  <c r="D34" i="3"/>
  <c r="D25" i="3"/>
  <c r="D32" i="3"/>
  <c r="D33" i="3"/>
  <c r="D24" i="3"/>
  <c r="D35" i="3"/>
  <c r="D26" i="3"/>
  <c r="C6" i="1" l="1"/>
  <c r="C4" i="1"/>
  <c r="C5" i="1" s="1"/>
  <c r="G12" i="1"/>
  <c r="F12" i="1"/>
  <c r="E12" i="1"/>
  <c r="D12" i="1"/>
  <c r="C27" i="1" l="1"/>
  <c r="D4" i="1"/>
  <c r="D5" i="1" s="1"/>
  <c r="P30" i="3"/>
  <c r="P31" i="3" s="1"/>
  <c r="P21" i="3"/>
  <c r="T26" i="3"/>
  <c r="T30" i="3"/>
  <c r="T31" i="3" s="1"/>
  <c r="T21" i="3"/>
  <c r="H30" i="3"/>
  <c r="H31" i="3" s="1"/>
  <c r="H21" i="3"/>
  <c r="L21" i="3"/>
  <c r="L30" i="3"/>
  <c r="L31" i="3" s="1"/>
  <c r="B17" i="7"/>
  <c r="P24" i="3"/>
  <c r="P35" i="3"/>
  <c r="P26" i="3"/>
  <c r="P33" i="3"/>
  <c r="P34" i="3"/>
  <c r="P25" i="3"/>
  <c r="P32" i="3"/>
  <c r="P23" i="3"/>
  <c r="T23" i="3"/>
  <c r="T34" i="3"/>
  <c r="T32" i="3"/>
  <c r="T24" i="3"/>
  <c r="T35" i="3"/>
  <c r="T25" i="3"/>
  <c r="T33" i="3"/>
  <c r="H26" i="3"/>
  <c r="H33" i="3"/>
  <c r="H25" i="3"/>
  <c r="H32" i="3"/>
  <c r="H23" i="3"/>
  <c r="H34" i="3"/>
  <c r="H24" i="3"/>
  <c r="H35" i="3"/>
  <c r="L25" i="3"/>
  <c r="L32" i="3"/>
  <c r="L23" i="3"/>
  <c r="L34" i="3"/>
  <c r="L26" i="3"/>
  <c r="L33" i="3"/>
  <c r="L24" i="3"/>
  <c r="L35" i="3"/>
  <c r="A17" i="7"/>
  <c r="D3" i="7"/>
  <c r="F5" i="1"/>
  <c r="L22" i="3" l="1"/>
  <c r="E14" i="1"/>
  <c r="P22" i="3"/>
  <c r="F14" i="1"/>
  <c r="T22" i="3"/>
  <c r="G14" i="1"/>
  <c r="H22" i="3"/>
  <c r="D14" i="1"/>
  <c r="G5" i="1"/>
  <c r="G25" i="1" s="1"/>
  <c r="E5" i="1"/>
  <c r="Q17" i="7"/>
  <c r="C19" i="1"/>
  <c r="B21" i="7"/>
  <c r="D27" i="1"/>
  <c r="B29" i="7"/>
  <c r="F27" i="1"/>
  <c r="P20" i="7"/>
  <c r="F25" i="1"/>
  <c r="B33" i="7" l="1"/>
  <c r="E25" i="1"/>
  <c r="G27" i="1"/>
  <c r="Q33" i="7" s="1"/>
  <c r="E27" i="1"/>
  <c r="B25" i="7"/>
  <c r="Q29" i="7"/>
  <c r="F19" i="1"/>
  <c r="Q21" i="7"/>
  <c r="D19" i="1"/>
  <c r="G19" i="1" l="1"/>
  <c r="Q25" i="7"/>
  <c r="E19" i="1"/>
  <c r="E16" i="1"/>
  <c r="E21" i="1" s="1"/>
  <c r="G16" i="1"/>
  <c r="C16" i="1"/>
  <c r="D16" i="1"/>
  <c r="F16" i="1"/>
  <c r="D18" i="1" l="1"/>
  <c r="D24" i="1" s="1"/>
  <c r="G18" i="1"/>
  <c r="G21" i="1"/>
  <c r="F18" i="1"/>
  <c r="F21" i="1"/>
  <c r="C18" i="1"/>
  <c r="E20" i="1"/>
  <c r="E18" i="1"/>
  <c r="E23" i="1" s="1"/>
  <c r="E30" i="1" s="1"/>
  <c r="G20" i="1"/>
  <c r="G24" i="1"/>
  <c r="G26" i="1"/>
  <c r="F20" i="1"/>
  <c r="F24" i="1"/>
  <c r="F26" i="1"/>
  <c r="D20" i="1"/>
  <c r="D25" i="1"/>
  <c r="D21" i="1" s="1"/>
  <c r="C20" i="1"/>
  <c r="C25" i="1"/>
  <c r="C21" i="1" s="1"/>
  <c r="E26" i="1"/>
  <c r="D26" i="1"/>
  <c r="C26" i="1"/>
  <c r="E24" i="1" l="1"/>
  <c r="F23" i="1"/>
  <c r="F30" i="1" s="1"/>
  <c r="G23" i="1"/>
  <c r="G30" i="1" s="1"/>
  <c r="C24" i="1"/>
  <c r="C23" i="1"/>
  <c r="C30" i="1" s="1"/>
  <c r="D23" i="1"/>
  <c r="D30" i="1" s="1"/>
  <c r="J23" i="1"/>
  <c r="J22" i="1"/>
  <c r="J24" i="1"/>
  <c r="D22" i="1"/>
  <c r="E22" i="1"/>
  <c r="G22" i="1"/>
  <c r="F22" i="1"/>
  <c r="C22" i="1"/>
  <c r="I20" i="1" l="1"/>
  <c r="K26" i="1" s="1"/>
  <c r="C31" i="1"/>
  <c r="K17" i="7" s="1"/>
  <c r="D31" i="1"/>
  <c r="K21" i="7" s="1"/>
  <c r="E31" i="1"/>
  <c r="K25" i="7" s="1"/>
  <c r="G31" i="1"/>
  <c r="K33" i="7" s="1"/>
  <c r="F31" i="1"/>
  <c r="K29" i="7" s="1"/>
  <c r="S16" i="7" l="1"/>
  <c r="S22" i="7"/>
  <c r="G5" i="7" s="1"/>
  <c r="S36" i="7"/>
  <c r="P9" i="7" s="1"/>
  <c r="S31" i="7"/>
  <c r="M7" i="7" s="1"/>
  <c r="S19" i="7"/>
  <c r="D7" i="7" s="1"/>
  <c r="S26" i="7"/>
  <c r="J5" i="7" s="1"/>
  <c r="S32" i="7"/>
  <c r="M9" i="7" s="1"/>
  <c r="S35" i="7"/>
  <c r="P7" i="7" s="1"/>
  <c r="S30" i="7"/>
  <c r="M5" i="7" s="1"/>
  <c r="S24" i="7"/>
  <c r="G9" i="7" s="1"/>
  <c r="S27" i="7"/>
  <c r="J7" i="7" s="1"/>
  <c r="S34" i="7"/>
  <c r="P5" i="7" s="1"/>
  <c r="S18" i="7"/>
  <c r="D5" i="7" s="1"/>
  <c r="S28" i="7"/>
  <c r="J9" i="7" s="1"/>
  <c r="S23" i="7"/>
  <c r="G7" i="7" s="1"/>
  <c r="S20" i="7"/>
  <c r="D9" i="7" s="1"/>
  <c r="Q35" i="7"/>
  <c r="Q34" i="7"/>
  <c r="Q36" i="7"/>
  <c r="Q28" i="7"/>
  <c r="Q26" i="7"/>
  <c r="Q27" i="7"/>
  <c r="Q22" i="7"/>
  <c r="Q24" i="7"/>
  <c r="Q23" i="7"/>
  <c r="Q31" i="7"/>
  <c r="Q32" i="7"/>
  <c r="Q30" i="7"/>
  <c r="Q19" i="7"/>
  <c r="Q20" i="7"/>
  <c r="Q18" i="7"/>
  <c r="G8" i="7" l="1"/>
  <c r="D4" i="7"/>
  <c r="M8" i="7"/>
  <c r="P8" i="7"/>
  <c r="D8" i="7"/>
  <c r="M6" i="7"/>
  <c r="J6" i="7"/>
  <c r="P4" i="7"/>
  <c r="M4" i="7"/>
  <c r="J8" i="7"/>
  <c r="G4" i="7"/>
  <c r="D6" i="7"/>
  <c r="G6" i="7"/>
  <c r="J4" i="7"/>
  <c r="P6" i="7"/>
  <c r="T20" i="7"/>
  <c r="T19" i="7"/>
  <c r="T18" i="7"/>
  <c r="T34" i="7"/>
  <c r="T24" i="7"/>
  <c r="T28" i="7"/>
  <c r="T32" i="7"/>
  <c r="T35" i="7"/>
  <c r="T30" i="7"/>
  <c r="T26" i="7"/>
  <c r="T22" i="7"/>
  <c r="T36" i="7"/>
  <c r="T27" i="7"/>
  <c r="T31" i="7"/>
  <c r="T23" i="7"/>
  <c r="Q6" i="7" l="1"/>
  <c r="Q4" i="7"/>
  <c r="Q8" i="7"/>
  <c r="T29" i="7"/>
  <c r="T21" i="7"/>
  <c r="T33" i="7"/>
  <c r="T25" i="7"/>
  <c r="T17" i="7"/>
  <c r="S8" i="7" l="1"/>
  <c r="T8" i="7"/>
  <c r="S4" i="7"/>
  <c r="T4" i="7"/>
  <c r="S6" i="7"/>
  <c r="T6" i="7"/>
  <c r="S10" i="7" l="1"/>
  <c r="E88" i="3" s="1"/>
  <c r="D98" i="3" s="1"/>
  <c r="G104" i="3" l="1"/>
  <c r="D97" i="3"/>
  <c r="G103" i="3" l="1"/>
  <c r="D96" i="3"/>
  <c r="E106" i="3" l="1"/>
  <c r="D95" i="3"/>
  <c r="E105" i="3" l="1"/>
  <c r="D94" i="3"/>
  <c r="E104" i="3" l="1"/>
  <c r="D93" i="3"/>
  <c r="E103" i="3" l="1"/>
  <c r="D92" i="3"/>
  <c r="C106" i="3" l="1"/>
  <c r="D91" i="3"/>
  <c r="C105" i="3" l="1"/>
  <c r="D90" i="3"/>
  <c r="A90" i="3" l="1"/>
  <c r="A91" i="3" s="1"/>
  <c r="C104" i="3"/>
  <c r="D89" i="3"/>
  <c r="C103" i="3" s="1"/>
  <c r="B90" i="3" l="1"/>
  <c r="B104" i="3" s="1"/>
  <c r="A92" i="3"/>
  <c r="B91" i="3"/>
  <c r="B105" i="3" s="1"/>
  <c r="A93" i="3" l="1"/>
  <c r="B92" i="3"/>
  <c r="B106" i="3" s="1"/>
  <c r="A94" i="3" l="1"/>
  <c r="B93" i="3"/>
  <c r="D103" i="3" s="1"/>
  <c r="A95" i="3" l="1"/>
  <c r="B94" i="3"/>
  <c r="D104" i="3" s="1"/>
  <c r="A96" i="3" l="1"/>
  <c r="B95" i="3"/>
  <c r="D105" i="3" s="1"/>
  <c r="A97" i="3" l="1"/>
  <c r="B96" i="3"/>
  <c r="D106" i="3" s="1"/>
  <c r="A98" i="3" l="1"/>
  <c r="B98" i="3" s="1"/>
  <c r="F104" i="3" s="1"/>
  <c r="B97" i="3"/>
  <c r="F103" i="3" s="1"/>
</calcChain>
</file>

<file path=xl/sharedStrings.xml><?xml version="1.0" encoding="utf-8"?>
<sst xmlns="http://schemas.openxmlformats.org/spreadsheetml/2006/main" count="260" uniqueCount="189">
  <si>
    <t>年度</t>
    <rPh sb="0" eb="2">
      <t>ネンド</t>
    </rPh>
    <phoneticPr fontId="4"/>
  </si>
  <si>
    <t>加入人員</t>
    <rPh sb="0" eb="2">
      <t>カニュウ</t>
    </rPh>
    <rPh sb="2" eb="4">
      <t>ジンイン</t>
    </rPh>
    <phoneticPr fontId="4"/>
  </si>
  <si>
    <t>生年月日</t>
    <rPh sb="0" eb="2">
      <t>セイネン</t>
    </rPh>
    <rPh sb="2" eb="4">
      <t>ガッピ</t>
    </rPh>
    <phoneticPr fontId="4"/>
  </si>
  <si>
    <t>円</t>
    <rPh sb="0" eb="1">
      <t>エン</t>
    </rPh>
    <phoneticPr fontId="4"/>
  </si>
  <si>
    <t>７割</t>
    <rPh sb="1" eb="2">
      <t>ワリ</t>
    </rPh>
    <phoneticPr fontId="4"/>
  </si>
  <si>
    <t>円以下</t>
    <rPh sb="0" eb="1">
      <t>エン</t>
    </rPh>
    <rPh sb="1" eb="3">
      <t>イカ</t>
    </rPh>
    <phoneticPr fontId="4"/>
  </si>
  <si>
    <t>５割</t>
    <rPh sb="1" eb="2">
      <t>ワリ</t>
    </rPh>
    <phoneticPr fontId="4"/>
  </si>
  <si>
    <t>２割</t>
    <rPh sb="1" eb="2">
      <t>ワリ</t>
    </rPh>
    <phoneticPr fontId="4"/>
  </si>
  <si>
    <t>所得割税率</t>
    <rPh sb="0" eb="2">
      <t>ショトク</t>
    </rPh>
    <rPh sb="2" eb="3">
      <t>ワリ</t>
    </rPh>
    <rPh sb="3" eb="5">
      <t>ゼイリツ</t>
    </rPh>
    <phoneticPr fontId="4"/>
  </si>
  <si>
    <t>医療分</t>
    <rPh sb="0" eb="2">
      <t>イリョウ</t>
    </rPh>
    <rPh sb="2" eb="3">
      <t>ブン</t>
    </rPh>
    <phoneticPr fontId="4"/>
  </si>
  <si>
    <t>7割軽減</t>
    <rPh sb="1" eb="2">
      <t>ワリ</t>
    </rPh>
    <rPh sb="2" eb="4">
      <t>ケイゲン</t>
    </rPh>
    <phoneticPr fontId="4"/>
  </si>
  <si>
    <t>支援金分</t>
    <rPh sb="0" eb="2">
      <t>シエン</t>
    </rPh>
    <rPh sb="2" eb="3">
      <t>キン</t>
    </rPh>
    <rPh sb="3" eb="4">
      <t>ブン</t>
    </rPh>
    <phoneticPr fontId="4"/>
  </si>
  <si>
    <t>5割軽減</t>
    <rPh sb="1" eb="2">
      <t>ワリ</t>
    </rPh>
    <rPh sb="2" eb="4">
      <t>ケイゲン</t>
    </rPh>
    <phoneticPr fontId="4"/>
  </si>
  <si>
    <t>介護分</t>
    <rPh sb="0" eb="2">
      <t>カイゴ</t>
    </rPh>
    <rPh sb="2" eb="3">
      <t>ブン</t>
    </rPh>
    <phoneticPr fontId="4"/>
  </si>
  <si>
    <t>2割軽減</t>
    <rPh sb="1" eb="2">
      <t>ワリ</t>
    </rPh>
    <rPh sb="2" eb="4">
      <t>ケイゲン</t>
    </rPh>
    <phoneticPr fontId="4"/>
  </si>
  <si>
    <t>旧被扶養者減免（社保→後期による65歳以上被扶養者の国保加入）については対応しておりません。</t>
    <rPh sb="0" eb="1">
      <t>キュウ</t>
    </rPh>
    <rPh sb="1" eb="5">
      <t>ヒフヨウシャ</t>
    </rPh>
    <rPh sb="5" eb="7">
      <t>ゲンメン</t>
    </rPh>
    <rPh sb="8" eb="9">
      <t>シャ</t>
    </rPh>
    <rPh sb="11" eb="13">
      <t>コウキ</t>
    </rPh>
    <rPh sb="18" eb="21">
      <t>サイイジョウ</t>
    </rPh>
    <rPh sb="21" eb="25">
      <t>ヒフヨウシャ</t>
    </rPh>
    <rPh sb="26" eb="28">
      <t>コクホ</t>
    </rPh>
    <rPh sb="28" eb="30">
      <t>カニュウ</t>
    </rPh>
    <rPh sb="36" eb="38">
      <t>タイオウ</t>
    </rPh>
    <phoneticPr fontId="4"/>
  </si>
  <si>
    <t>以前</t>
    <rPh sb="0" eb="2">
      <t>イゼン</t>
    </rPh>
    <phoneticPr fontId="4"/>
  </si>
  <si>
    <t>以後</t>
    <rPh sb="0" eb="2">
      <t>イゴ</t>
    </rPh>
    <phoneticPr fontId="4"/>
  </si>
  <si>
    <t>賦課期日</t>
    <rPh sb="0" eb="4">
      <t>フカキジツ</t>
    </rPh>
    <phoneticPr fontId="4"/>
  </si>
  <si>
    <t>年齢</t>
    <rPh sb="0" eb="2">
      <t>ネンレイ</t>
    </rPh>
    <phoneticPr fontId="4"/>
  </si>
  <si>
    <t>均等割額</t>
    <rPh sb="0" eb="3">
      <t>キントウワリ</t>
    </rPh>
    <rPh sb="3" eb="4">
      <t>ガク</t>
    </rPh>
    <phoneticPr fontId="4"/>
  </si>
  <si>
    <t>令和</t>
    <rPh sb="0" eb="2">
      <t>レイワ</t>
    </rPh>
    <phoneticPr fontId="3"/>
  </si>
  <si>
    <t>医療税率</t>
    <rPh sb="0" eb="2">
      <t>イリョウ</t>
    </rPh>
    <rPh sb="2" eb="4">
      <t>ゼイリツ</t>
    </rPh>
    <phoneticPr fontId="2"/>
  </si>
  <si>
    <t>介護税率</t>
    <rPh sb="0" eb="2">
      <t>カイゴ</t>
    </rPh>
    <rPh sb="2" eb="4">
      <t>ゼイリツ</t>
    </rPh>
    <phoneticPr fontId="2"/>
  </si>
  <si>
    <t>医療均等</t>
    <rPh sb="0" eb="2">
      <t>イリョウ</t>
    </rPh>
    <rPh sb="2" eb="4">
      <t>キントウ</t>
    </rPh>
    <phoneticPr fontId="2"/>
  </si>
  <si>
    <t>介護均等</t>
    <rPh sb="0" eb="2">
      <t>カイゴ</t>
    </rPh>
    <rPh sb="2" eb="4">
      <t>キントウ</t>
    </rPh>
    <phoneticPr fontId="2"/>
  </si>
  <si>
    <t>軽減５割</t>
    <rPh sb="0" eb="2">
      <t>ケイゲン</t>
    </rPh>
    <rPh sb="3" eb="4">
      <t>ワリ</t>
    </rPh>
    <phoneticPr fontId="2"/>
  </si>
  <si>
    <t>軽減２割</t>
    <rPh sb="0" eb="2">
      <t>ケイゲン</t>
    </rPh>
    <rPh sb="3" eb="4">
      <t>ワリ</t>
    </rPh>
    <phoneticPr fontId="2"/>
  </si>
  <si>
    <t>医療限度</t>
    <rPh sb="0" eb="2">
      <t>イリョウ</t>
    </rPh>
    <rPh sb="2" eb="4">
      <t>ゲンド</t>
    </rPh>
    <phoneticPr fontId="2"/>
  </si>
  <si>
    <t>介護限度</t>
    <rPh sb="0" eb="2">
      <t>カイゴ</t>
    </rPh>
    <rPh sb="2" eb="4">
      <t>ゲンド</t>
    </rPh>
    <phoneticPr fontId="2"/>
  </si>
  <si>
    <t>未就学児</t>
    <rPh sb="0" eb="4">
      <t>ミシュウガクジ</t>
    </rPh>
    <phoneticPr fontId="3"/>
  </si>
  <si>
    <t>税率</t>
    <rPh sb="0" eb="2">
      <t>ゼイリツ</t>
    </rPh>
    <phoneticPr fontId="3"/>
  </si>
  <si>
    <t>税額</t>
    <rPh sb="0" eb="2">
      <t>ゼイガク</t>
    </rPh>
    <phoneticPr fontId="3"/>
  </si>
  <si>
    <t>軽減</t>
    <rPh sb="0" eb="2">
      <t>ケイゲン</t>
    </rPh>
    <phoneticPr fontId="3"/>
  </si>
  <si>
    <t>令和ｘ年度→</t>
    <rPh sb="0" eb="2">
      <t>レイワ</t>
    </rPh>
    <rPh sb="3" eb="5">
      <t>ネンド</t>
    </rPh>
    <phoneticPr fontId="3"/>
  </si>
  <si>
    <t>非自発的失業</t>
    <rPh sb="0" eb="1">
      <t>ヒ</t>
    </rPh>
    <rPh sb="1" eb="4">
      <t>ジハツテキ</t>
    </rPh>
    <rPh sb="4" eb="6">
      <t>シツギョウ</t>
    </rPh>
    <phoneticPr fontId="4"/>
  </si>
  <si>
    <t>基礎控除</t>
    <rPh sb="0" eb="2">
      <t>キソ</t>
    </rPh>
    <rPh sb="2" eb="4">
      <t>コウジョ</t>
    </rPh>
    <phoneticPr fontId="3"/>
  </si>
  <si>
    <t>給与所得合計用</t>
    <rPh sb="0" eb="2">
      <t>キュウヨ</t>
    </rPh>
    <rPh sb="2" eb="4">
      <t>ショトク</t>
    </rPh>
    <rPh sb="4" eb="6">
      <t>ゴウケイ</t>
    </rPh>
    <rPh sb="6" eb="7">
      <t>ヨウ</t>
    </rPh>
    <phoneticPr fontId="3"/>
  </si>
  <si>
    <t>年金所得合計用</t>
    <rPh sb="0" eb="2">
      <t>ネンキン</t>
    </rPh>
    <rPh sb="2" eb="4">
      <t>ショトク</t>
    </rPh>
    <rPh sb="4" eb="6">
      <t>ゴウケイ</t>
    </rPh>
    <rPh sb="6" eb="7">
      <t>ヨウ</t>
    </rPh>
    <phoneticPr fontId="3"/>
  </si>
  <si>
    <t>〇</t>
    <phoneticPr fontId="3"/>
  </si>
  <si>
    <t>〇</t>
    <phoneticPr fontId="3"/>
  </si>
  <si>
    <t>解雇</t>
    <rPh sb="0" eb="2">
      <t>カイコ</t>
    </rPh>
    <phoneticPr fontId="3"/>
  </si>
  <si>
    <t>天災等の理由により事業の継続が不可能となったことによる解雇</t>
    <rPh sb="0" eb="2">
      <t>テンサイ</t>
    </rPh>
    <rPh sb="2" eb="3">
      <t>トウ</t>
    </rPh>
    <rPh sb="4" eb="6">
      <t>リユウ</t>
    </rPh>
    <rPh sb="9" eb="11">
      <t>ジギョウ</t>
    </rPh>
    <rPh sb="12" eb="14">
      <t>ケイゾク</t>
    </rPh>
    <rPh sb="15" eb="18">
      <t>フカノウ</t>
    </rPh>
    <rPh sb="27" eb="29">
      <t>カイコ</t>
    </rPh>
    <phoneticPr fontId="3"/>
  </si>
  <si>
    <t>契約期間満了による退職、定年、移籍出向</t>
    <rPh sb="0" eb="2">
      <t>ケイヤク</t>
    </rPh>
    <rPh sb="2" eb="4">
      <t>キカン</t>
    </rPh>
    <rPh sb="4" eb="6">
      <t>マンリョウ</t>
    </rPh>
    <rPh sb="9" eb="11">
      <t>タイショク</t>
    </rPh>
    <rPh sb="12" eb="14">
      <t>テイネン</t>
    </rPh>
    <rPh sb="15" eb="17">
      <t>イセキ</t>
    </rPh>
    <rPh sb="17" eb="19">
      <t>シュッコウ</t>
    </rPh>
    <phoneticPr fontId="3"/>
  </si>
  <si>
    <t>特定雇止めによる離職（雇用期間3年以上雇止め通知あり）</t>
    <rPh sb="0" eb="2">
      <t>トクテイ</t>
    </rPh>
    <rPh sb="2" eb="3">
      <t>ヤトイ</t>
    </rPh>
    <rPh sb="3" eb="4">
      <t>ド</t>
    </rPh>
    <rPh sb="8" eb="10">
      <t>リショク</t>
    </rPh>
    <rPh sb="11" eb="13">
      <t>コヨウ</t>
    </rPh>
    <rPh sb="13" eb="15">
      <t>キカン</t>
    </rPh>
    <rPh sb="16" eb="19">
      <t>ネンイジョウ</t>
    </rPh>
    <rPh sb="19" eb="20">
      <t>ヤトイ</t>
    </rPh>
    <rPh sb="20" eb="21">
      <t>ド</t>
    </rPh>
    <rPh sb="22" eb="24">
      <t>ツウチ</t>
    </rPh>
    <phoneticPr fontId="3"/>
  </si>
  <si>
    <t>特定雇止めによる離職（雇用期間3年未満等更新明示あり）</t>
    <rPh sb="0" eb="2">
      <t>トクテイ</t>
    </rPh>
    <rPh sb="2" eb="3">
      <t>ヤトイ</t>
    </rPh>
    <rPh sb="3" eb="4">
      <t>ド</t>
    </rPh>
    <rPh sb="8" eb="10">
      <t>リショク</t>
    </rPh>
    <rPh sb="11" eb="13">
      <t>コヨウ</t>
    </rPh>
    <rPh sb="13" eb="15">
      <t>キカン</t>
    </rPh>
    <rPh sb="16" eb="17">
      <t>ネン</t>
    </rPh>
    <rPh sb="17" eb="19">
      <t>ミマン</t>
    </rPh>
    <rPh sb="19" eb="20">
      <t>トウ</t>
    </rPh>
    <rPh sb="20" eb="22">
      <t>コウシン</t>
    </rPh>
    <rPh sb="22" eb="24">
      <t>メイジ</t>
    </rPh>
    <phoneticPr fontId="3"/>
  </si>
  <si>
    <t>特定理由の契約期間満了による離職（雇用期間3年未満等更新明示なし）</t>
    <rPh sb="0" eb="2">
      <t>トクテイ</t>
    </rPh>
    <rPh sb="2" eb="4">
      <t>リユウ</t>
    </rPh>
    <rPh sb="5" eb="7">
      <t>ケイヤク</t>
    </rPh>
    <rPh sb="7" eb="9">
      <t>キカン</t>
    </rPh>
    <rPh sb="9" eb="11">
      <t>マンリョウ</t>
    </rPh>
    <rPh sb="14" eb="16">
      <t>リショク</t>
    </rPh>
    <rPh sb="17" eb="19">
      <t>コヨウ</t>
    </rPh>
    <rPh sb="19" eb="21">
      <t>キカン</t>
    </rPh>
    <rPh sb="22" eb="23">
      <t>ネン</t>
    </rPh>
    <rPh sb="23" eb="25">
      <t>ミマン</t>
    </rPh>
    <rPh sb="25" eb="26">
      <t>トウ</t>
    </rPh>
    <rPh sb="26" eb="28">
      <t>コウシン</t>
    </rPh>
    <rPh sb="28" eb="30">
      <t>メイジ</t>
    </rPh>
    <phoneticPr fontId="3"/>
  </si>
  <si>
    <t>契約期間満了による退職</t>
    <rPh sb="0" eb="2">
      <t>ケイヤク</t>
    </rPh>
    <rPh sb="2" eb="4">
      <t>キカン</t>
    </rPh>
    <rPh sb="4" eb="6">
      <t>マンリョウ</t>
    </rPh>
    <rPh sb="9" eb="11">
      <t>タイショク</t>
    </rPh>
    <phoneticPr fontId="3"/>
  </si>
  <si>
    <t>定年、移籍出向</t>
    <rPh sb="0" eb="2">
      <t>テイネン</t>
    </rPh>
    <rPh sb="3" eb="5">
      <t>イセキ</t>
    </rPh>
    <rPh sb="5" eb="7">
      <t>シュッコウ</t>
    </rPh>
    <phoneticPr fontId="3"/>
  </si>
  <si>
    <t>事業主からの働きかけによる正当な理由のある自己都合退職</t>
    <rPh sb="0" eb="3">
      <t>ジギョウヌシ</t>
    </rPh>
    <rPh sb="6" eb="7">
      <t>ハタラ</t>
    </rPh>
    <rPh sb="13" eb="15">
      <t>セイトウ</t>
    </rPh>
    <rPh sb="16" eb="18">
      <t>リユウ</t>
    </rPh>
    <rPh sb="21" eb="23">
      <t>ジコ</t>
    </rPh>
    <rPh sb="23" eb="25">
      <t>ツゴウ</t>
    </rPh>
    <rPh sb="25" eb="27">
      <t>タイショク</t>
    </rPh>
    <phoneticPr fontId="3"/>
  </si>
  <si>
    <t>事業所移転等に伴う正当な理由のある自己都合退職</t>
    <rPh sb="0" eb="3">
      <t>ジギョウショ</t>
    </rPh>
    <rPh sb="3" eb="5">
      <t>イテン</t>
    </rPh>
    <rPh sb="5" eb="6">
      <t>トウ</t>
    </rPh>
    <rPh sb="7" eb="8">
      <t>トモナ</t>
    </rPh>
    <rPh sb="9" eb="11">
      <t>セイトウ</t>
    </rPh>
    <rPh sb="12" eb="14">
      <t>リユウ</t>
    </rPh>
    <rPh sb="17" eb="19">
      <t>ジコ</t>
    </rPh>
    <rPh sb="19" eb="21">
      <t>ツゴウ</t>
    </rPh>
    <rPh sb="21" eb="23">
      <t>タイショク</t>
    </rPh>
    <phoneticPr fontId="3"/>
  </si>
  <si>
    <t>正当な理由のある自己都合退職</t>
    <rPh sb="0" eb="2">
      <t>セイトウ</t>
    </rPh>
    <rPh sb="3" eb="5">
      <t>リユウ</t>
    </rPh>
    <rPh sb="8" eb="14">
      <t>ジコツゴウタイショク</t>
    </rPh>
    <phoneticPr fontId="3"/>
  </si>
  <si>
    <t>特定の正当な理由のある自己都合退職</t>
    <rPh sb="0" eb="2">
      <t>トクテイ</t>
    </rPh>
    <rPh sb="3" eb="5">
      <t>セイトウ</t>
    </rPh>
    <rPh sb="6" eb="8">
      <t>リユウ</t>
    </rPh>
    <rPh sb="11" eb="13">
      <t>ジコ</t>
    </rPh>
    <rPh sb="13" eb="15">
      <t>ツゴウ</t>
    </rPh>
    <rPh sb="15" eb="17">
      <t>タイショク</t>
    </rPh>
    <phoneticPr fontId="3"/>
  </si>
  <si>
    <t>正当な理由のない自己都合退職</t>
    <rPh sb="0" eb="2">
      <t>セイトウ</t>
    </rPh>
    <rPh sb="3" eb="5">
      <t>リユウ</t>
    </rPh>
    <rPh sb="8" eb="14">
      <t>ジコツゴウタイショク</t>
    </rPh>
    <phoneticPr fontId="3"/>
  </si>
  <si>
    <t>正当な理由のない自己都合退職（受給資格等決定前に被保険者期間が2ヶ月以上）</t>
    <rPh sb="0" eb="2">
      <t>セイトウ</t>
    </rPh>
    <rPh sb="3" eb="5">
      <t>リユウ</t>
    </rPh>
    <rPh sb="8" eb="14">
      <t>ジコツゴウタイショク</t>
    </rPh>
    <rPh sb="15" eb="17">
      <t>ジュキュウ</t>
    </rPh>
    <rPh sb="17" eb="19">
      <t>シカク</t>
    </rPh>
    <rPh sb="19" eb="20">
      <t>トウ</t>
    </rPh>
    <rPh sb="20" eb="22">
      <t>ケッテイ</t>
    </rPh>
    <rPh sb="22" eb="23">
      <t>マエ</t>
    </rPh>
    <rPh sb="24" eb="28">
      <t>ヒホケンシャ</t>
    </rPh>
    <rPh sb="28" eb="30">
      <t>キカン</t>
    </rPh>
    <rPh sb="33" eb="36">
      <t>ゲツイジョウ</t>
    </rPh>
    <phoneticPr fontId="3"/>
  </si>
  <si>
    <t>被保険者の責めに帰すべき重大な理由による解雇</t>
    <rPh sb="0" eb="4">
      <t>ヒホケンシャ</t>
    </rPh>
    <rPh sb="5" eb="6">
      <t>セ</t>
    </rPh>
    <rPh sb="8" eb="9">
      <t>キ</t>
    </rPh>
    <rPh sb="12" eb="14">
      <t>ジュウダイ</t>
    </rPh>
    <rPh sb="15" eb="17">
      <t>リユウ</t>
    </rPh>
    <rPh sb="20" eb="22">
      <t>カイコ</t>
    </rPh>
    <phoneticPr fontId="3"/>
  </si>
  <si>
    <t>非自発的失業者の離職コード</t>
    <rPh sb="0" eb="1">
      <t>ヒ</t>
    </rPh>
    <rPh sb="1" eb="4">
      <t>ジハツテキ</t>
    </rPh>
    <rPh sb="4" eb="7">
      <t>シツギョウシャ</t>
    </rPh>
    <rPh sb="8" eb="10">
      <t>リショク</t>
    </rPh>
    <phoneticPr fontId="3"/>
  </si>
  <si>
    <t>均等割額軽減判定</t>
    <rPh sb="0" eb="3">
      <t>キントウワリ</t>
    </rPh>
    <rPh sb="3" eb="4">
      <t>ガク</t>
    </rPh>
    <rPh sb="4" eb="6">
      <t>ケイゲン</t>
    </rPh>
    <rPh sb="6" eb="8">
      <t>ハンテイ</t>
    </rPh>
    <phoneticPr fontId="4"/>
  </si>
  <si>
    <t>黄色のセルに情報を入力してください</t>
    <rPh sb="0" eb="2">
      <t>キイロ</t>
    </rPh>
    <rPh sb="6" eb="8">
      <t>ジョウホウ</t>
    </rPh>
    <rPh sb="9" eb="11">
      <t>ニュウリョク</t>
    </rPh>
    <phoneticPr fontId="3"/>
  </si>
  <si>
    <t>薄茶色のセルにも入力可能です</t>
    <rPh sb="0" eb="1">
      <t>ウス</t>
    </rPh>
    <rPh sb="1" eb="3">
      <t>チャイロ</t>
    </rPh>
    <rPh sb="8" eb="10">
      <t>ニュウリョク</t>
    </rPh>
    <rPh sb="10" eb="12">
      <t>カノウ</t>
    </rPh>
    <phoneticPr fontId="3"/>
  </si>
  <si>
    <t>その他のセルは入力不可です</t>
    <rPh sb="2" eb="3">
      <t>タ</t>
    </rPh>
    <rPh sb="7" eb="9">
      <t>ニュウリョク</t>
    </rPh>
    <rPh sb="9" eb="11">
      <t>フカ</t>
    </rPh>
    <phoneticPr fontId="3"/>
  </si>
  <si>
    <t>給与所得者等該当か？</t>
    <rPh sb="6" eb="8">
      <t>ガイトウ</t>
    </rPh>
    <phoneticPr fontId="3"/>
  </si>
  <si>
    <t>↓</t>
    <phoneticPr fontId="3"/>
  </si>
  <si>
    <t>この世帯の軽減判定所得金額</t>
    <rPh sb="2" eb="4">
      <t>セタイ</t>
    </rPh>
    <rPh sb="5" eb="7">
      <t>ケイゲン</t>
    </rPh>
    <rPh sb="7" eb="9">
      <t>ハンテイ</t>
    </rPh>
    <rPh sb="9" eb="11">
      <t>ショトク</t>
    </rPh>
    <rPh sb="11" eb="13">
      <t>キンガク</t>
    </rPh>
    <phoneticPr fontId="4"/>
  </si>
  <si>
    <t>均等割額軽減判定結果</t>
    <rPh sb="0" eb="3">
      <t>キントウワリ</t>
    </rPh>
    <rPh sb="3" eb="4">
      <t>ガク</t>
    </rPh>
    <rPh sb="4" eb="6">
      <t>ケイゲン</t>
    </rPh>
    <rPh sb="6" eb="8">
      <t>ハンテイ</t>
    </rPh>
    <rPh sb="8" eb="10">
      <t>ケッカ</t>
    </rPh>
    <phoneticPr fontId="3"/>
  </si>
  <si>
    <t>課税限度額</t>
    <rPh sb="0" eb="2">
      <t>カゼイ</t>
    </rPh>
    <rPh sb="2" eb="4">
      <t>ゲンド</t>
    </rPh>
    <rPh sb="4" eb="5">
      <t>ガク</t>
    </rPh>
    <phoneticPr fontId="3"/>
  </si>
  <si>
    <t>税額・税率・限度額</t>
    <phoneticPr fontId="3"/>
  </si>
  <si>
    <t>世帯の合計所得判定金額の計算方法</t>
    <phoneticPr fontId="3"/>
  </si>
  <si>
    <t>軽減基準所得年金控除</t>
    <rPh sb="0" eb="2">
      <t>ケイゲン</t>
    </rPh>
    <rPh sb="2" eb="4">
      <t>キジュン</t>
    </rPh>
    <rPh sb="4" eb="6">
      <t>ショトク</t>
    </rPh>
    <rPh sb="6" eb="8">
      <t>ネンキン</t>
    </rPh>
    <rPh sb="8" eb="10">
      <t>コウジョ</t>
    </rPh>
    <phoneticPr fontId="3"/>
  </si>
  <si>
    <t>軽減判定所得額</t>
    <rPh sb="0" eb="2">
      <t>ケイゲン</t>
    </rPh>
    <rPh sb="2" eb="4">
      <t>ハンテイ</t>
    </rPh>
    <rPh sb="4" eb="6">
      <t>ショトク</t>
    </rPh>
    <rPh sb="6" eb="7">
      <t>ガク</t>
    </rPh>
    <phoneticPr fontId="4"/>
  </si>
  <si>
    <t>←この行は必須（この行の記入で人数を判断しています、世帯主は一番左に、他の加入者は左詰めで）</t>
    <rPh sb="3" eb="4">
      <t>ギョウ</t>
    </rPh>
    <rPh sb="5" eb="7">
      <t>ヒッス</t>
    </rPh>
    <rPh sb="10" eb="11">
      <t>ギョウ</t>
    </rPh>
    <rPh sb="12" eb="14">
      <t>キニュウ</t>
    </rPh>
    <rPh sb="15" eb="17">
      <t>ニンズウ</t>
    </rPh>
    <rPh sb="18" eb="20">
      <t>ハンダン</t>
    </rPh>
    <rPh sb="26" eb="29">
      <t>セタイヌシ</t>
    </rPh>
    <rPh sb="30" eb="32">
      <t>イチバン</t>
    </rPh>
    <rPh sb="32" eb="33">
      <t>ヒダリ</t>
    </rPh>
    <rPh sb="35" eb="36">
      <t>タ</t>
    </rPh>
    <rPh sb="37" eb="40">
      <t>カニュウシャ</t>
    </rPh>
    <rPh sb="41" eb="43">
      <t>ヒダリヅ</t>
    </rPh>
    <phoneticPr fontId="4"/>
  </si>
  <si>
    <t>未就学児軽減対象か？</t>
    <rPh sb="0" eb="4">
      <t>ミシュウガクジ</t>
    </rPh>
    <rPh sb="4" eb="6">
      <t>ケイゲン</t>
    </rPh>
    <rPh sb="6" eb="8">
      <t>タイショウ</t>
    </rPh>
    <phoneticPr fontId="3"/>
  </si>
  <si>
    <t>加入月数</t>
    <rPh sb="0" eb="2">
      <t>カニュウ</t>
    </rPh>
    <rPh sb="2" eb="4">
      <t>ツキスウ</t>
    </rPh>
    <phoneticPr fontId="3"/>
  </si>
  <si>
    <t>する</t>
  </si>
  <si>
    <t>世帯主
及び
加入者</t>
    <rPh sb="0" eb="3">
      <t>セタイヌシ</t>
    </rPh>
    <rPh sb="4" eb="5">
      <t>オヨ</t>
    </rPh>
    <rPh sb="7" eb="10">
      <t>カニュウシャ</t>
    </rPh>
    <phoneticPr fontId="3"/>
  </si>
  <si>
    <t>年齢</t>
    <rPh sb="0" eb="2">
      <t>ネンレイ</t>
    </rPh>
    <phoneticPr fontId="3"/>
  </si>
  <si>
    <t>加入している月＝「〇」
※介護分は月末時点で40～64歳の方</t>
    <rPh sb="0" eb="2">
      <t>カニュウ</t>
    </rPh>
    <rPh sb="6" eb="7">
      <t>ツキ</t>
    </rPh>
    <rPh sb="13" eb="15">
      <t>カイゴ</t>
    </rPh>
    <rPh sb="15" eb="16">
      <t>ブン</t>
    </rPh>
    <rPh sb="17" eb="19">
      <t>ゲツマツ</t>
    </rPh>
    <rPh sb="19" eb="21">
      <t>ジテン</t>
    </rPh>
    <rPh sb="27" eb="28">
      <t>サイ</t>
    </rPh>
    <rPh sb="29" eb="30">
      <t>カタ</t>
    </rPh>
    <phoneticPr fontId="3"/>
  </si>
  <si>
    <t>所得割税額</t>
    <rPh sb="0" eb="2">
      <t>ショトク</t>
    </rPh>
    <rPh sb="2" eb="3">
      <t>ワリ</t>
    </rPh>
    <rPh sb="3" eb="4">
      <t>ゼイ</t>
    </rPh>
    <rPh sb="4" eb="5">
      <t>ガク</t>
    </rPh>
    <phoneticPr fontId="3"/>
  </si>
  <si>
    <t>年税額計</t>
    <rPh sb="0" eb="3">
      <t>ネンゼイガク</t>
    </rPh>
    <rPh sb="3" eb="4">
      <t>ケイ</t>
    </rPh>
    <phoneticPr fontId="3"/>
  </si>
  <si>
    <t>均等割税額</t>
    <phoneticPr fontId="3"/>
  </si>
  <si>
    <t>所得割基礎額</t>
    <rPh sb="0" eb="2">
      <t>ショトク</t>
    </rPh>
    <rPh sb="2" eb="3">
      <t>ワリ</t>
    </rPh>
    <rPh sb="3" eb="5">
      <t>キソ</t>
    </rPh>
    <rPh sb="5" eb="6">
      <t>ガク</t>
    </rPh>
    <phoneticPr fontId="4"/>
  </si>
  <si>
    <t>資格チェック</t>
    <rPh sb="0" eb="2">
      <t>シカク</t>
    </rPh>
    <phoneticPr fontId="3"/>
  </si>
  <si>
    <t>4月</t>
    <rPh sb="1" eb="2">
      <t>ガツ</t>
    </rPh>
    <phoneticPr fontId="3"/>
  </si>
  <si>
    <t>5月</t>
  </si>
  <si>
    <t>6月</t>
  </si>
  <si>
    <t>7月</t>
  </si>
  <si>
    <t>8月</t>
  </si>
  <si>
    <t>9月</t>
  </si>
  <si>
    <t>10月</t>
  </si>
  <si>
    <t>11月</t>
  </si>
  <si>
    <t>12月</t>
  </si>
  <si>
    <t>1月</t>
  </si>
  <si>
    <t>2月</t>
  </si>
  <si>
    <t>3月</t>
  </si>
  <si>
    <t>75歳国保喪失</t>
    <rPh sb="2" eb="3">
      <t>サイ</t>
    </rPh>
    <rPh sb="3" eb="5">
      <t>コクホ</t>
    </rPh>
    <rPh sb="5" eb="7">
      <t>ソウシツ</t>
    </rPh>
    <phoneticPr fontId="3"/>
  </si>
  <si>
    <t>（各合計額は端数処理前の参考額）</t>
    <rPh sb="1" eb="2">
      <t>カク</t>
    </rPh>
    <rPh sb="2" eb="4">
      <t>ゴウケイ</t>
    </rPh>
    <rPh sb="4" eb="5">
      <t>ガク</t>
    </rPh>
    <rPh sb="6" eb="8">
      <t>ハスウ</t>
    </rPh>
    <rPh sb="8" eb="10">
      <t>ショリ</t>
    </rPh>
    <rPh sb="10" eb="11">
      <t>マエ</t>
    </rPh>
    <rPh sb="12" eb="14">
      <t>サンコウ</t>
    </rPh>
    <rPh sb="14" eb="15">
      <t>ガク</t>
    </rPh>
    <phoneticPr fontId="3"/>
  </si>
  <si>
    <t>非自発的失業軽減対象者か？</t>
    <rPh sb="8" eb="10">
      <t>タイショウ</t>
    </rPh>
    <rPh sb="10" eb="11">
      <t>シャ</t>
    </rPh>
    <phoneticPr fontId="3"/>
  </si>
  <si>
    <t>40歳介護加入</t>
    <rPh sb="2" eb="3">
      <t>サイ</t>
    </rPh>
    <rPh sb="5" eb="7">
      <t>カニュウ</t>
    </rPh>
    <phoneticPr fontId="3"/>
  </si>
  <si>
    <t>65歳介護喪失</t>
    <rPh sb="2" eb="3">
      <t>サイ</t>
    </rPh>
    <rPh sb="5" eb="7">
      <t>ソウシツ</t>
    </rPh>
    <phoneticPr fontId="3"/>
  </si>
  <si>
    <t>均等割税額</t>
    <rPh sb="0" eb="3">
      <t>キントウワリ</t>
    </rPh>
    <rPh sb="3" eb="5">
      <t>ゼイガク</t>
    </rPh>
    <phoneticPr fontId="3"/>
  </si>
  <si>
    <t>合計額</t>
    <rPh sb="0" eb="2">
      <t>ゴウケイ</t>
    </rPh>
    <rPh sb="2" eb="3">
      <t>ガク</t>
    </rPh>
    <phoneticPr fontId="3"/>
  </si>
  <si>
    <t>確定税額</t>
    <rPh sb="0" eb="2">
      <t>カクテイ</t>
    </rPh>
    <rPh sb="2" eb="4">
      <t>ゼイガク</t>
    </rPh>
    <phoneticPr fontId="3"/>
  </si>
  <si>
    <t>特記事項</t>
    <rPh sb="0" eb="2">
      <t>トッキ</t>
    </rPh>
    <rPh sb="2" eb="4">
      <t>ジコウ</t>
    </rPh>
    <phoneticPr fontId="3"/>
  </si>
  <si>
    <t>算出種別</t>
    <rPh sb="0" eb="2">
      <t>サンシュツ</t>
    </rPh>
    <rPh sb="2" eb="4">
      <t>シュベツ</t>
    </rPh>
    <phoneticPr fontId="3"/>
  </si>
  <si>
    <t>所得割税額</t>
    <rPh sb="0" eb="2">
      <t>ショトク</t>
    </rPh>
    <rPh sb="2" eb="3">
      <t>ワリ</t>
    </rPh>
    <rPh sb="3" eb="5">
      <t>ゼイガク</t>
    </rPh>
    <phoneticPr fontId="3"/>
  </si>
  <si>
    <t>試算年税額</t>
    <rPh sb="0" eb="2">
      <t>シサン</t>
    </rPh>
    <rPh sb="2" eb="3">
      <t>ネン</t>
    </rPh>
    <rPh sb="3" eb="5">
      <t>ゼイガク</t>
    </rPh>
    <phoneticPr fontId="3"/>
  </si>
  <si>
    <t>期割と納期限</t>
    <rPh sb="0" eb="1">
      <t>キ</t>
    </rPh>
    <rPh sb="1" eb="2">
      <t>ワリ</t>
    </rPh>
    <rPh sb="3" eb="6">
      <t>ノウキゲン</t>
    </rPh>
    <phoneticPr fontId="3"/>
  </si>
  <si>
    <t>納期限</t>
    <rPh sb="0" eb="3">
      <t>ノウキゲン</t>
    </rPh>
    <phoneticPr fontId="3"/>
  </si>
  <si>
    <t>期割り</t>
    <rPh sb="0" eb="1">
      <t>キ</t>
    </rPh>
    <rPh sb="1" eb="2">
      <t>ワリ</t>
    </rPh>
    <phoneticPr fontId="3"/>
  </si>
  <si>
    <t>最終納期月</t>
    <rPh sb="0" eb="2">
      <t>サイシュウ</t>
    </rPh>
    <rPh sb="2" eb="4">
      <t>ノウキ</t>
    </rPh>
    <rPh sb="4" eb="5">
      <t>ツキ</t>
    </rPh>
    <phoneticPr fontId="3"/>
  </si>
  <si>
    <t>月</t>
    <rPh sb="0" eb="1">
      <t>ガツ</t>
    </rPh>
    <phoneticPr fontId="3"/>
  </si>
  <si>
    <t>納期</t>
    <rPh sb="0" eb="2">
      <t>ノウキ</t>
    </rPh>
    <phoneticPr fontId="3"/>
  </si>
  <si>
    <t>基礎情報</t>
    <rPh sb="0" eb="4">
      <t>キソジョウホウ</t>
    </rPh>
    <phoneticPr fontId="3"/>
  </si>
  <si>
    <t>条例上納期</t>
    <rPh sb="0" eb="2">
      <t>ジョウレイ</t>
    </rPh>
    <rPh sb="2" eb="3">
      <t>ジョウ</t>
    </rPh>
    <rPh sb="3" eb="5">
      <t>ノウキ</t>
    </rPh>
    <phoneticPr fontId="3"/>
  </si>
  <si>
    <t>実際の納期</t>
    <rPh sb="0" eb="2">
      <t>ジッサイ</t>
    </rPh>
    <rPh sb="3" eb="5">
      <t>ノウキ</t>
    </rPh>
    <phoneticPr fontId="3"/>
  </si>
  <si>
    <t>税額</t>
    <rPh sb="0" eb="2">
      <t>ゼイガク</t>
    </rPh>
    <phoneticPr fontId="3"/>
  </si>
  <si>
    <t>納通発送月</t>
    <rPh sb="0" eb="1">
      <t>オサメ</t>
    </rPh>
    <rPh sb="2" eb="4">
      <t>ハッソウ</t>
    </rPh>
    <rPh sb="4" eb="5">
      <t>ツキ</t>
    </rPh>
    <phoneticPr fontId="3"/>
  </si>
  <si>
    <t>A</t>
    <phoneticPr fontId="3"/>
  </si>
  <si>
    <t>B</t>
    <phoneticPr fontId="3"/>
  </si>
  <si>
    <t>C</t>
    <phoneticPr fontId="3"/>
  </si>
  <si>
    <t>D</t>
    <phoneticPr fontId="3"/>
  </si>
  <si>
    <t>E</t>
    <phoneticPr fontId="3"/>
  </si>
  <si>
    <t>A</t>
    <phoneticPr fontId="3"/>
  </si>
  <si>
    <t>E</t>
    <phoneticPr fontId="3"/>
  </si>
  <si>
    <t>テーブル</t>
    <phoneticPr fontId="3"/>
  </si>
  <si>
    <t>年金収入→年金所得変換テーブル</t>
    <rPh sb="2" eb="4">
      <t>シュウニュウ</t>
    </rPh>
    <rPh sb="5" eb="7">
      <t>ネンキン</t>
    </rPh>
    <rPh sb="7" eb="9">
      <t>ショトク</t>
    </rPh>
    <rPh sb="9" eb="11">
      <t>ヘンカン</t>
    </rPh>
    <phoneticPr fontId="3"/>
  </si>
  <si>
    <t>給与収入→給与所得変換テーブル</t>
    <rPh sb="2" eb="4">
      <t>シュウニュウ</t>
    </rPh>
    <rPh sb="5" eb="7">
      <t>キュウヨ</t>
    </rPh>
    <rPh sb="7" eb="9">
      <t>ショトク</t>
    </rPh>
    <rPh sb="9" eb="11">
      <t>ヘンカン</t>
    </rPh>
    <phoneticPr fontId="3"/>
  </si>
  <si>
    <t>支援税率</t>
    <rPh sb="0" eb="2">
      <t>シエン</t>
    </rPh>
    <rPh sb="2" eb="4">
      <t>ゼイリツ</t>
    </rPh>
    <phoneticPr fontId="2"/>
  </si>
  <si>
    <t>支援均等</t>
    <rPh sb="0" eb="2">
      <t>シエン</t>
    </rPh>
    <rPh sb="2" eb="4">
      <t>キントウ</t>
    </rPh>
    <phoneticPr fontId="2"/>
  </si>
  <si>
    <t>支援限度</t>
    <rPh sb="0" eb="2">
      <t>シエン</t>
    </rPh>
    <rPh sb="2" eb="4">
      <t>ゲンド</t>
    </rPh>
    <phoneticPr fontId="2"/>
  </si>
  <si>
    <t>軽減判定時の６５歳以上 年金所得－１５万円に対応しました。</t>
    <rPh sb="0" eb="2">
      <t>ケイゲン</t>
    </rPh>
    <rPh sb="2" eb="4">
      <t>ハンテイ</t>
    </rPh>
    <rPh sb="4" eb="5">
      <t>ジ</t>
    </rPh>
    <rPh sb="8" eb="11">
      <t>サイイジョウ</t>
    </rPh>
    <rPh sb="12" eb="14">
      <t>ネンキン</t>
    </rPh>
    <rPh sb="14" eb="16">
      <t>ショトク</t>
    </rPh>
    <rPh sb="19" eb="21">
      <t>マンエン</t>
    </rPh>
    <rPh sb="22" eb="24">
      <t>タイオウ</t>
    </rPh>
    <phoneticPr fontId="4"/>
  </si>
  <si>
    <t>未就学児の均等割り軽減に対応しました。</t>
    <rPh sb="0" eb="4">
      <t>ミシュウガクジ</t>
    </rPh>
    <rPh sb="5" eb="8">
      <t>キントウワ</t>
    </rPh>
    <rPh sb="9" eb="11">
      <t>ケイゲン</t>
    </rPh>
    <rPh sb="12" eb="14">
      <t>タイオウ</t>
    </rPh>
    <phoneticPr fontId="4"/>
  </si>
  <si>
    <t>世帯主は国民健康保険に加入</t>
    <rPh sb="0" eb="3">
      <t>セタイヌシ</t>
    </rPh>
    <rPh sb="4" eb="10">
      <t>コクミンケンコウホケン</t>
    </rPh>
    <rPh sb="11" eb="13">
      <t>カニュウ</t>
    </rPh>
    <phoneticPr fontId="4"/>
  </si>
  <si>
    <t>入力内容から求めた軽減判定額</t>
    <rPh sb="0" eb="2">
      <t>ニュウリョク</t>
    </rPh>
    <rPh sb="2" eb="4">
      <t>ナイヨウ</t>
    </rPh>
    <rPh sb="6" eb="7">
      <t>モト</t>
    </rPh>
    <rPh sb="9" eb="11">
      <t>ケイゲン</t>
    </rPh>
    <rPh sb="11" eb="13">
      <t>ハンテイ</t>
    </rPh>
    <rPh sb="13" eb="14">
      <t>ガク</t>
    </rPh>
    <phoneticPr fontId="4"/>
  </si>
  <si>
    <t>非自発的失業軽減分（給与所得△7割）</t>
    <rPh sb="0" eb="1">
      <t>ヒ</t>
    </rPh>
    <rPh sb="1" eb="4">
      <t>ジハツテキ</t>
    </rPh>
    <rPh sb="4" eb="6">
      <t>シツギョウ</t>
    </rPh>
    <rPh sb="6" eb="8">
      <t>ケイゲン</t>
    </rPh>
    <rPh sb="8" eb="9">
      <t>ブン</t>
    </rPh>
    <rPh sb="10" eb="12">
      <t>キュウヨ</t>
    </rPh>
    <rPh sb="12" eb="14">
      <t>ショトク</t>
    </rPh>
    <rPh sb="16" eb="17">
      <t>ワリ</t>
    </rPh>
    <phoneticPr fontId="4"/>
  </si>
  <si>
    <t>この金額を比較して判定します。</t>
    <rPh sb="2" eb="4">
      <t>キンガク</t>
    </rPh>
    <rPh sb="5" eb="7">
      <t>ヒカク</t>
    </rPh>
    <rPh sb="9" eb="11">
      <t>ハンテイ</t>
    </rPh>
    <phoneticPr fontId="4"/>
  </si>
  <si>
    <t>判定結果は、下に表示されます。</t>
    <rPh sb="0" eb="2">
      <t>ハンテイ</t>
    </rPh>
    <rPh sb="2" eb="4">
      <t>ケッカ</t>
    </rPh>
    <rPh sb="6" eb="7">
      <t>シタ</t>
    </rPh>
    <rPh sb="8" eb="10">
      <t>ヒョウジ</t>
    </rPh>
    <phoneticPr fontId="4"/>
  </si>
  <si>
    <t>未就学児は均等割が軽減されます。</t>
    <rPh sb="0" eb="4">
      <t>ミシュウガクジ</t>
    </rPh>
    <rPh sb="5" eb="8">
      <t>キントウワリ</t>
    </rPh>
    <rPh sb="9" eb="11">
      <t>ケイゲン</t>
    </rPh>
    <phoneticPr fontId="4"/>
  </si>
  <si>
    <t>（令和４年度から）</t>
    <rPh sb="1" eb="3">
      <t>レイワ</t>
    </rPh>
    <rPh sb="4" eb="6">
      <t>ネンド</t>
    </rPh>
    <phoneticPr fontId="4"/>
  </si>
  <si>
    <t>その軽減割合が表示されます。</t>
    <rPh sb="2" eb="4">
      <t>ケイゲン</t>
    </rPh>
    <rPh sb="4" eb="6">
      <t>ワリアイ</t>
    </rPh>
    <rPh sb="7" eb="9">
      <t>ヒョウジ</t>
    </rPh>
    <phoneticPr fontId="4"/>
  </si>
  <si>
    <t>（生年月日から自動計算されます）</t>
    <rPh sb="1" eb="3">
      <t>セイネン</t>
    </rPh>
    <rPh sb="3" eb="5">
      <t>ガッピ</t>
    </rPh>
    <rPh sb="7" eb="9">
      <t>ジドウ</t>
    </rPh>
    <rPh sb="9" eb="11">
      <t>ケイサン</t>
    </rPh>
    <phoneticPr fontId="4"/>
  </si>
  <si>
    <t>出生時加入</t>
    <rPh sb="0" eb="2">
      <t>シュッショウ</t>
    </rPh>
    <rPh sb="2" eb="3">
      <t>ジ</t>
    </rPh>
    <rPh sb="3" eb="5">
      <t>カニュウ</t>
    </rPh>
    <phoneticPr fontId="3"/>
  </si>
  <si>
    <t>確定申告書</t>
    <rPh sb="0" eb="2">
      <t>カクテイ</t>
    </rPh>
    <rPh sb="2" eb="4">
      <t>シンコク</t>
    </rPh>
    <rPh sb="4" eb="5">
      <t>ショ</t>
    </rPh>
    <phoneticPr fontId="3"/>
  </si>
  <si>
    <t>源泉徴収票（給与）</t>
    <rPh sb="0" eb="5">
      <t>ゲンセンチョウシュウヒョウ</t>
    </rPh>
    <rPh sb="6" eb="8">
      <t>キュウヨ</t>
    </rPh>
    <phoneticPr fontId="3"/>
  </si>
  <si>
    <t>源泉徴収票（年金）</t>
    <rPh sb="0" eb="5">
      <t>ゲンセンチョウシュウヒョウ</t>
    </rPh>
    <rPh sb="6" eb="8">
      <t>ネンキン</t>
    </rPh>
    <phoneticPr fontId="3"/>
  </si>
  <si>
    <t>A</t>
    <phoneticPr fontId="3"/>
  </si>
  <si>
    <t>B</t>
    <phoneticPr fontId="3"/>
  </si>
  <si>
    <t>C</t>
    <phoneticPr fontId="3"/>
  </si>
  <si>
    <t>D</t>
    <phoneticPr fontId="3"/>
  </si>
  <si>
    <t>E</t>
    <phoneticPr fontId="3"/>
  </si>
  <si>
    <t>計算1</t>
    <rPh sb="0" eb="2">
      <t>ケイサン</t>
    </rPh>
    <phoneticPr fontId="3"/>
  </si>
  <si>
    <t>計算2</t>
    <rPh sb="0" eb="2">
      <t>ケイサン</t>
    </rPh>
    <phoneticPr fontId="3"/>
  </si>
  <si>
    <t>計算1</t>
    <rPh sb="0" eb="2">
      <t>ケイサン</t>
    </rPh>
    <phoneticPr fontId="4"/>
  </si>
  <si>
    <t>計算2</t>
    <rPh sb="0" eb="2">
      <t>ケイサン</t>
    </rPh>
    <phoneticPr fontId="4"/>
  </si>
  <si>
    <t>基礎控除変換テーブル</t>
    <rPh sb="0" eb="2">
      <t>キソ</t>
    </rPh>
    <rPh sb="2" eb="4">
      <t>コウジョ</t>
    </rPh>
    <rPh sb="4" eb="6">
      <t>ヘンカン</t>
    </rPh>
    <phoneticPr fontId="3"/>
  </si>
  <si>
    <t>E</t>
    <phoneticPr fontId="3"/>
  </si>
  <si>
    <t>C</t>
    <phoneticPr fontId="3"/>
  </si>
  <si>
    <t>計算パターン</t>
    <rPh sb="0" eb="2">
      <t>ケイサン</t>
    </rPh>
    <phoneticPr fontId="2"/>
  </si>
  <si>
    <t>軽減基礎</t>
    <rPh sb="0" eb="2">
      <t>ケイゲン</t>
    </rPh>
    <rPh sb="2" eb="4">
      <t>キソ</t>
    </rPh>
    <phoneticPr fontId="3"/>
  </si>
  <si>
    <t>軽減給与所得者等</t>
    <rPh sb="0" eb="2">
      <t>ケイゲン</t>
    </rPh>
    <rPh sb="2" eb="4">
      <t>キュウヨ</t>
    </rPh>
    <rPh sb="4" eb="6">
      <t>ショトク</t>
    </rPh>
    <rPh sb="6" eb="7">
      <t>シャ</t>
    </rPh>
    <rPh sb="7" eb="8">
      <t>トウ</t>
    </rPh>
    <phoneticPr fontId="2"/>
  </si>
  <si>
    <t>分離課税の申告をしている方は、この試算シートでは対応できません。</t>
    <rPh sb="0" eb="2">
      <t>ブンリ</t>
    </rPh>
    <rPh sb="2" eb="4">
      <t>カゼイ</t>
    </rPh>
    <rPh sb="5" eb="7">
      <t>シンコク</t>
    </rPh>
    <rPh sb="12" eb="13">
      <t>カタ</t>
    </rPh>
    <rPh sb="17" eb="19">
      <t>シサン</t>
    </rPh>
    <rPh sb="24" eb="26">
      <t>タイオウ</t>
    </rPh>
    <phoneticPr fontId="3"/>
  </si>
  <si>
    <t>産前産後の保険税軽減（令和6年1月～）には対応しておりません。</t>
    <rPh sb="0" eb="2">
      <t>サンゼン</t>
    </rPh>
    <rPh sb="2" eb="4">
      <t>サンゴ</t>
    </rPh>
    <rPh sb="5" eb="7">
      <t>ホケン</t>
    </rPh>
    <rPh sb="7" eb="8">
      <t>ゼイ</t>
    </rPh>
    <rPh sb="8" eb="10">
      <t>ケイゲン</t>
    </rPh>
    <rPh sb="11" eb="13">
      <t>レイワ</t>
    </rPh>
    <rPh sb="14" eb="15">
      <t>ネン</t>
    </rPh>
    <rPh sb="16" eb="17">
      <t>ガツ</t>
    </rPh>
    <rPh sb="21" eb="23">
      <t>タイオウ</t>
    </rPh>
    <phoneticPr fontId="3"/>
  </si>
  <si>
    <t>世帯主と加入者全員が収入（所得）額を申告していることが前提です。未申告者が含まれる場合の暫定税額は計算できません。</t>
    <rPh sb="0" eb="3">
      <t>セタイヌシ</t>
    </rPh>
    <rPh sb="4" eb="7">
      <t>カニュウシャ</t>
    </rPh>
    <rPh sb="7" eb="9">
      <t>ゼンイン</t>
    </rPh>
    <rPh sb="10" eb="12">
      <t>シュウニュウ</t>
    </rPh>
    <rPh sb="13" eb="15">
      <t>ショトク</t>
    </rPh>
    <rPh sb="16" eb="17">
      <t>ガク</t>
    </rPh>
    <rPh sb="18" eb="20">
      <t>シンコク</t>
    </rPh>
    <rPh sb="27" eb="29">
      <t>ゼンテイ</t>
    </rPh>
    <rPh sb="32" eb="36">
      <t>ミシンコクシャ</t>
    </rPh>
    <rPh sb="37" eb="38">
      <t>フク</t>
    </rPh>
    <rPh sb="41" eb="43">
      <t>バアイ</t>
    </rPh>
    <rPh sb="44" eb="46">
      <t>ザンテイ</t>
    </rPh>
    <rPh sb="46" eb="48">
      <t>ゼイガク</t>
    </rPh>
    <rPh sb="49" eb="51">
      <t>ケイサン</t>
    </rPh>
    <phoneticPr fontId="3"/>
  </si>
  <si>
    <t>資格</t>
    <rPh sb="0" eb="2">
      <t>シカク</t>
    </rPh>
    <phoneticPr fontId="3"/>
  </si>
  <si>
    <r>
      <t>←給与・年金以外の</t>
    </r>
    <r>
      <rPr>
        <b/>
        <sz val="9"/>
        <color rgb="FFFF0000"/>
        <rFont val="ＭＳ Ｐゴシック"/>
        <family val="3"/>
        <charset val="128"/>
      </rPr>
      <t>所得</t>
    </r>
    <r>
      <rPr>
        <sz val="9"/>
        <rFont val="ＭＳ Ｐゴシック"/>
        <family val="3"/>
        <charset val="128"/>
      </rPr>
      <t>は直接入力（事業</t>
    </r>
    <r>
      <rPr>
        <b/>
        <sz val="9"/>
        <color rgb="FFFF0000"/>
        <rFont val="ＭＳ Ｐゴシック"/>
        <family val="3"/>
        <charset val="128"/>
      </rPr>
      <t>所得</t>
    </r>
    <r>
      <rPr>
        <sz val="9"/>
        <rFont val="ＭＳ Ｐゴシック"/>
        <family val="3"/>
        <charset val="128"/>
      </rPr>
      <t>・不動産</t>
    </r>
    <r>
      <rPr>
        <b/>
        <sz val="9"/>
        <color rgb="FFFF0000"/>
        <rFont val="ＭＳ Ｐゴシック"/>
        <family val="3"/>
        <charset val="128"/>
      </rPr>
      <t>所得</t>
    </r>
    <r>
      <rPr>
        <sz val="9"/>
        <rFont val="ＭＳ Ｐゴシック"/>
        <family val="3"/>
        <charset val="128"/>
      </rPr>
      <t>等）</t>
    </r>
    <rPh sb="1" eb="3">
      <t>キュウヨ</t>
    </rPh>
    <rPh sb="4" eb="6">
      <t>ネンキン</t>
    </rPh>
    <rPh sb="6" eb="8">
      <t>イガイ</t>
    </rPh>
    <rPh sb="9" eb="11">
      <t>ショトク</t>
    </rPh>
    <rPh sb="12" eb="14">
      <t>チョクセツ</t>
    </rPh>
    <rPh sb="14" eb="16">
      <t>ニュウリョク</t>
    </rPh>
    <rPh sb="17" eb="19">
      <t>ジギョウ</t>
    </rPh>
    <rPh sb="19" eb="21">
      <t>ショトク</t>
    </rPh>
    <rPh sb="22" eb="25">
      <t>フドウサン</t>
    </rPh>
    <rPh sb="25" eb="27">
      <t>ショトク</t>
    </rPh>
    <rPh sb="27" eb="28">
      <t>トウ</t>
    </rPh>
    <phoneticPr fontId="4"/>
  </si>
  <si>
    <r>
      <t>←非自発的失業者の場合、雇用保険受給資格者証の｢離職理由コード」</t>
    </r>
    <r>
      <rPr>
        <b/>
        <sz val="9"/>
        <rFont val="ＭＳ Ｐゴシック"/>
        <family val="3"/>
        <charset val="128"/>
      </rPr>
      <t>数字2桁</t>
    </r>
    <r>
      <rPr>
        <sz val="9"/>
        <rFont val="ＭＳ Ｐゴシック"/>
        <family val="3"/>
        <charset val="128"/>
      </rPr>
      <t>を入力</t>
    </r>
    <r>
      <rPr>
        <sz val="9"/>
        <color rgb="FFFF0000"/>
        <rFont val="ＭＳ Ｐゴシック"/>
        <family val="3"/>
        <charset val="128"/>
      </rPr>
      <t>（別途申請が必要です）</t>
    </r>
    <rPh sb="32" eb="34">
      <t>スウジ</t>
    </rPh>
    <rPh sb="40" eb="42">
      <t>ベット</t>
    </rPh>
    <rPh sb="42" eb="44">
      <t>シンセイ</t>
    </rPh>
    <rPh sb="45" eb="47">
      <t>ヒツヨウ</t>
    </rPh>
    <phoneticPr fontId="3"/>
  </si>
  <si>
    <r>
      <t>←上の行（給与</t>
    </r>
    <r>
      <rPr>
        <b/>
        <sz val="9"/>
        <color rgb="FF00B050"/>
        <rFont val="ＭＳ Ｐゴシック"/>
        <family val="3"/>
        <charset val="128"/>
      </rPr>
      <t>収入</t>
    </r>
    <r>
      <rPr>
        <sz val="9"/>
        <rFont val="ＭＳ Ｐゴシック"/>
        <family val="3"/>
        <charset val="128"/>
      </rPr>
      <t>）を入力すると、この行（給与</t>
    </r>
    <r>
      <rPr>
        <b/>
        <sz val="9"/>
        <color rgb="FFFF0000"/>
        <rFont val="ＭＳ Ｐゴシック"/>
        <family val="3"/>
        <charset val="128"/>
      </rPr>
      <t>所得</t>
    </r>
    <r>
      <rPr>
        <sz val="9"/>
        <rFont val="ＭＳ Ｐゴシック"/>
        <family val="3"/>
        <charset val="128"/>
      </rPr>
      <t>)は自動計算</t>
    </r>
    <rPh sb="1" eb="2">
      <t>ウエ</t>
    </rPh>
    <rPh sb="3" eb="4">
      <t>ギョウ</t>
    </rPh>
    <rPh sb="5" eb="7">
      <t>キュウヨ</t>
    </rPh>
    <rPh sb="7" eb="9">
      <t>シュウニュウ</t>
    </rPh>
    <rPh sb="11" eb="13">
      <t>ニュウリョク</t>
    </rPh>
    <rPh sb="19" eb="20">
      <t>ギョウ</t>
    </rPh>
    <rPh sb="21" eb="23">
      <t>キュウヨ</t>
    </rPh>
    <rPh sb="23" eb="25">
      <t>ショトク</t>
    </rPh>
    <rPh sb="27" eb="29">
      <t>ジドウ</t>
    </rPh>
    <rPh sb="29" eb="31">
      <t>ケイサン</t>
    </rPh>
    <phoneticPr fontId="4"/>
  </si>
  <si>
    <r>
      <t>←上の行（年金</t>
    </r>
    <r>
      <rPr>
        <b/>
        <sz val="9"/>
        <color rgb="FF00B050"/>
        <rFont val="ＭＳ Ｐゴシック"/>
        <family val="3"/>
        <charset val="128"/>
      </rPr>
      <t>収入</t>
    </r>
    <r>
      <rPr>
        <sz val="9"/>
        <rFont val="ＭＳ Ｐゴシック"/>
        <family val="3"/>
        <charset val="128"/>
      </rPr>
      <t>）を入力すると、この行（年金</t>
    </r>
    <r>
      <rPr>
        <b/>
        <sz val="9"/>
        <color rgb="FFFF0000"/>
        <rFont val="ＭＳ Ｐゴシック"/>
        <family val="3"/>
        <charset val="128"/>
      </rPr>
      <t>所得</t>
    </r>
    <r>
      <rPr>
        <sz val="9"/>
        <rFont val="ＭＳ Ｐゴシック"/>
        <family val="3"/>
        <charset val="128"/>
      </rPr>
      <t>）は自動計算</t>
    </r>
    <rPh sb="1" eb="2">
      <t>ウエ</t>
    </rPh>
    <rPh sb="3" eb="4">
      <t>ギョウ</t>
    </rPh>
    <rPh sb="5" eb="7">
      <t>ネンキン</t>
    </rPh>
    <rPh sb="7" eb="9">
      <t>シュウニュウ</t>
    </rPh>
    <rPh sb="11" eb="13">
      <t>ニュウリョク</t>
    </rPh>
    <rPh sb="19" eb="20">
      <t>ギョウ</t>
    </rPh>
    <rPh sb="21" eb="23">
      <t>ネンキン</t>
    </rPh>
    <rPh sb="23" eb="25">
      <t>ショトク</t>
    </rPh>
    <rPh sb="27" eb="29">
      <t>ジドウ</t>
    </rPh>
    <rPh sb="29" eb="31">
      <t>ケイサン</t>
    </rPh>
    <phoneticPr fontId="3"/>
  </si>
  <si>
    <r>
      <t>給与</t>
    </r>
    <r>
      <rPr>
        <b/>
        <sz val="11"/>
        <color rgb="FF00B050"/>
        <rFont val="游ゴシック"/>
        <family val="3"/>
        <charset val="128"/>
        <scheme val="minor"/>
      </rPr>
      <t>収入</t>
    </r>
    <rPh sb="0" eb="2">
      <t>キュウヨ</t>
    </rPh>
    <rPh sb="2" eb="4">
      <t>シュウニュウ</t>
    </rPh>
    <phoneticPr fontId="4"/>
  </si>
  <si>
    <r>
      <t>給与</t>
    </r>
    <r>
      <rPr>
        <b/>
        <sz val="11"/>
        <color rgb="FFFF0000"/>
        <rFont val="游ゴシック"/>
        <family val="3"/>
        <charset val="128"/>
        <scheme val="minor"/>
      </rPr>
      <t>所得</t>
    </r>
    <r>
      <rPr>
        <sz val="11"/>
        <color rgb="FFFF0000"/>
        <rFont val="游ゴシック"/>
        <family val="3"/>
        <charset val="128"/>
        <scheme val="minor"/>
      </rPr>
      <t xml:space="preserve"> a</t>
    </r>
    <rPh sb="0" eb="2">
      <t>キュウヨ</t>
    </rPh>
    <rPh sb="2" eb="4">
      <t>ショトク</t>
    </rPh>
    <phoneticPr fontId="4"/>
  </si>
  <si>
    <r>
      <t>年金</t>
    </r>
    <r>
      <rPr>
        <b/>
        <sz val="11"/>
        <color rgb="FF00B050"/>
        <rFont val="游ゴシック"/>
        <family val="3"/>
        <charset val="128"/>
        <scheme val="minor"/>
      </rPr>
      <t>収入</t>
    </r>
    <rPh sb="0" eb="2">
      <t>ネンキン</t>
    </rPh>
    <rPh sb="2" eb="4">
      <t>シュウニュウ</t>
    </rPh>
    <phoneticPr fontId="4"/>
  </si>
  <si>
    <r>
      <t>年金</t>
    </r>
    <r>
      <rPr>
        <b/>
        <sz val="11"/>
        <color rgb="FFFF0000"/>
        <rFont val="游ゴシック"/>
        <family val="3"/>
        <charset val="128"/>
        <scheme val="minor"/>
      </rPr>
      <t>所得</t>
    </r>
    <r>
      <rPr>
        <sz val="11"/>
        <color rgb="FFFF0000"/>
        <rFont val="游ゴシック"/>
        <family val="3"/>
        <charset val="128"/>
        <scheme val="minor"/>
      </rPr>
      <t xml:space="preserve"> b</t>
    </r>
    <rPh sb="0" eb="2">
      <t>ネンキン</t>
    </rPh>
    <rPh sb="2" eb="4">
      <t>ショトク</t>
    </rPh>
    <phoneticPr fontId="4"/>
  </si>
  <si>
    <r>
      <t>その他</t>
    </r>
    <r>
      <rPr>
        <b/>
        <sz val="11"/>
        <color rgb="FFFF0000"/>
        <rFont val="游ゴシック"/>
        <family val="3"/>
        <charset val="128"/>
        <scheme val="minor"/>
      </rPr>
      <t>所得</t>
    </r>
    <r>
      <rPr>
        <sz val="11"/>
        <color rgb="FFFF0000"/>
        <rFont val="游ゴシック"/>
        <family val="3"/>
        <charset val="128"/>
        <scheme val="minor"/>
      </rPr>
      <t xml:space="preserve"> c</t>
    </r>
    <rPh sb="2" eb="3">
      <t>タ</t>
    </rPh>
    <rPh sb="3" eb="5">
      <t>ショトク</t>
    </rPh>
    <phoneticPr fontId="4"/>
  </si>
  <si>
    <r>
      <t>合計</t>
    </r>
    <r>
      <rPr>
        <b/>
        <sz val="11"/>
        <color rgb="FFFF0000"/>
        <rFont val="游ゴシック"/>
        <family val="3"/>
        <charset val="128"/>
        <scheme val="minor"/>
      </rPr>
      <t>所得</t>
    </r>
    <r>
      <rPr>
        <sz val="11"/>
        <color rgb="FFFF0000"/>
        <rFont val="游ゴシック"/>
        <family val="3"/>
        <charset val="128"/>
        <scheme val="minor"/>
      </rPr>
      <t>(a+b+c)</t>
    </r>
    <rPh sb="0" eb="2">
      <t>ゴウケイ</t>
    </rPh>
    <rPh sb="2" eb="4">
      <t>ショトク</t>
    </rPh>
    <phoneticPr fontId="4"/>
  </si>
  <si>
    <r>
      <t>→次のページもご参照ください。</t>
    </r>
    <r>
      <rPr>
        <sz val="9"/>
        <color rgb="FFC00000"/>
        <rFont val="ＭＳ ゴシック"/>
        <family val="3"/>
        <charset val="128"/>
      </rPr>
      <t>https://www.city.tama.lg.jp/kurashi/kokuho/hokenzei/1002019.html</t>
    </r>
    <rPh sb="1" eb="2">
      <t>ツギ</t>
    </rPh>
    <rPh sb="8" eb="10">
      <t>サンショウ</t>
    </rPh>
    <phoneticPr fontId="3"/>
  </si>
  <si>
    <t>このシート下方の制限事項もご確認ください。</t>
    <rPh sb="5" eb="7">
      <t>カホウ</t>
    </rPh>
    <rPh sb="8" eb="10">
      <t>セイゲン</t>
    </rPh>
    <rPh sb="10" eb="12">
      <t>ジコウ</t>
    </rPh>
    <rPh sb="14" eb="16">
      <t>カクニン</t>
    </rPh>
    <phoneticPr fontId="3"/>
  </si>
  <si>
    <t>介護分開始対象（40歳到達）か？</t>
    <rPh sb="0" eb="2">
      <t>カイゴ</t>
    </rPh>
    <rPh sb="2" eb="3">
      <t>ブン</t>
    </rPh>
    <rPh sb="3" eb="5">
      <t>カイシ</t>
    </rPh>
    <rPh sb="5" eb="7">
      <t>タイショウ</t>
    </rPh>
    <rPh sb="10" eb="11">
      <t>サイ</t>
    </rPh>
    <rPh sb="11" eb="13">
      <t>トウタツ</t>
    </rPh>
    <phoneticPr fontId="3"/>
  </si>
  <si>
    <t>←世帯主が国保加入するなら「する」、世帯主が国保加入しないなら「しない」を選んでください。</t>
    <phoneticPr fontId="3"/>
  </si>
  <si>
    <t>自動計算できるのは、1年分の税額です。年度途中の加入や脱退は自動計算できません。</t>
    <rPh sb="0" eb="2">
      <t>ジドウ</t>
    </rPh>
    <rPh sb="2" eb="4">
      <t>ケイサン</t>
    </rPh>
    <rPh sb="11" eb="13">
      <t>ネンブン</t>
    </rPh>
    <rPh sb="14" eb="16">
      <t>ゼイガク</t>
    </rPh>
    <rPh sb="19" eb="21">
      <t>ネンド</t>
    </rPh>
    <rPh sb="21" eb="23">
      <t>トチュウ</t>
    </rPh>
    <rPh sb="24" eb="26">
      <t>カニュウ</t>
    </rPh>
    <rPh sb="27" eb="29">
      <t>ダッタイ</t>
    </rPh>
    <rPh sb="30" eb="32">
      <t>ジドウ</t>
    </rPh>
    <rPh sb="32" eb="34">
      <t>ケイサン</t>
    </rPh>
    <phoneticPr fontId="3"/>
  </si>
  <si>
    <t>令和５年度の限度額・軽減判定額の変更に対応しました。</t>
    <rPh sb="0" eb="1">
      <t>レイ</t>
    </rPh>
    <rPh sb="1" eb="2">
      <t>ワ</t>
    </rPh>
    <rPh sb="3" eb="5">
      <t>ネンド</t>
    </rPh>
    <rPh sb="6" eb="8">
      <t>ゲンド</t>
    </rPh>
    <rPh sb="8" eb="9">
      <t>ガク</t>
    </rPh>
    <rPh sb="10" eb="12">
      <t>ケイゲン</t>
    </rPh>
    <rPh sb="12" eb="14">
      <t>ハンテイ</t>
    </rPh>
    <rPh sb="14" eb="15">
      <t>ガク</t>
    </rPh>
    <rPh sb="16" eb="18">
      <t>ヘンコウ</t>
    </rPh>
    <rPh sb="19" eb="21">
      <t>タイオウ</t>
    </rPh>
    <phoneticPr fontId="4"/>
  </si>
  <si>
    <r>
      <t>←こちらに給与</t>
    </r>
    <r>
      <rPr>
        <b/>
        <sz val="9"/>
        <color rgb="FFFF0000"/>
        <rFont val="ＭＳ Ｐゴシック"/>
        <family val="3"/>
        <charset val="128"/>
      </rPr>
      <t>所得</t>
    </r>
    <r>
      <rPr>
        <sz val="9"/>
        <rFont val="ＭＳ Ｐゴシック"/>
        <family val="3"/>
        <charset val="128"/>
      </rPr>
      <t>を直接入力してもOK。</t>
    </r>
    <r>
      <rPr>
        <b/>
        <sz val="9"/>
        <color rgb="FFFF0000"/>
        <rFont val="ＭＳ Ｐゴシック"/>
        <family val="3"/>
        <charset val="128"/>
      </rPr>
      <t>この行（直接入力）が優先</t>
    </r>
    <r>
      <rPr>
        <sz val="9"/>
        <rFont val="ＭＳ Ｐゴシック"/>
        <family val="3"/>
        <charset val="128"/>
      </rPr>
      <t>されます。</t>
    </r>
    <rPh sb="5" eb="7">
      <t>キュウヨ</t>
    </rPh>
    <rPh sb="7" eb="9">
      <t>ショトク</t>
    </rPh>
    <rPh sb="12" eb="14">
      <t>ニュウリョク</t>
    </rPh>
    <rPh sb="22" eb="23">
      <t>ギョウ</t>
    </rPh>
    <rPh sb="24" eb="26">
      <t>チョクセツ</t>
    </rPh>
    <rPh sb="26" eb="28">
      <t>ニュウリョク</t>
    </rPh>
    <rPh sb="30" eb="32">
      <t>ユウセン</t>
    </rPh>
    <phoneticPr fontId="3"/>
  </si>
  <si>
    <r>
      <t>←こちらに年金</t>
    </r>
    <r>
      <rPr>
        <b/>
        <sz val="9"/>
        <color rgb="FFFF0000"/>
        <rFont val="ＭＳ Ｐゴシック"/>
        <family val="3"/>
        <charset val="128"/>
      </rPr>
      <t>所得</t>
    </r>
    <r>
      <rPr>
        <sz val="9"/>
        <rFont val="ＭＳ Ｐゴシック"/>
        <family val="3"/>
        <charset val="128"/>
      </rPr>
      <t>を直接入力してもOK。</t>
    </r>
    <r>
      <rPr>
        <b/>
        <sz val="9"/>
        <color rgb="FFFF0000"/>
        <rFont val="ＭＳ Ｐゴシック"/>
        <family val="3"/>
        <charset val="128"/>
      </rPr>
      <t>この行（直接入力）が優先</t>
    </r>
    <r>
      <rPr>
        <sz val="9"/>
        <rFont val="ＭＳ Ｐゴシック"/>
        <family val="3"/>
        <charset val="128"/>
      </rPr>
      <t>されます。</t>
    </r>
    <rPh sb="5" eb="7">
      <t>ネンキン</t>
    </rPh>
    <rPh sb="7" eb="9">
      <t>ショトク</t>
    </rPh>
    <rPh sb="12" eb="14">
      <t>ニュウリョク</t>
    </rPh>
    <rPh sb="22" eb="23">
      <t>ギョウ</t>
    </rPh>
    <rPh sb="24" eb="28">
      <t>チョクセツニュウリョク</t>
    </rPh>
    <rPh sb="30" eb="32">
      <t>ユウセン</t>
    </rPh>
    <phoneticPr fontId="3"/>
  </si>
  <si>
    <t>所得分</t>
    <rPh sb="0" eb="3">
      <t>ショトクブン</t>
    </rPh>
    <phoneticPr fontId="3"/>
  </si>
  <si>
    <t>軽減分</t>
    <rPh sb="0" eb="3">
      <t>ケイゲンブン</t>
    </rPh>
    <phoneticPr fontId="3"/>
  </si>
  <si>
    <t>調整控除額(*)</t>
    <rPh sb="0" eb="2">
      <t>チョウセイ</t>
    </rPh>
    <rPh sb="2" eb="4">
      <t>コウジョ</t>
    </rPh>
    <rPh sb="4" eb="5">
      <t>ガク</t>
    </rPh>
    <phoneticPr fontId="3"/>
  </si>
  <si>
    <t>(*)所得金額調整控除は、給与所得と年金所得がある場合のみの対応です。特別障害者や扶養親族が含まれる場合の調整控除は対応できません。</t>
    <rPh sb="3" eb="5">
      <t>ショトク</t>
    </rPh>
    <rPh sb="5" eb="7">
      <t>キンガク</t>
    </rPh>
    <rPh sb="7" eb="9">
      <t>チョウセイ</t>
    </rPh>
    <rPh sb="9" eb="11">
      <t>コウジョ</t>
    </rPh>
    <rPh sb="13" eb="15">
      <t>キュウヨ</t>
    </rPh>
    <rPh sb="15" eb="17">
      <t>ショトク</t>
    </rPh>
    <rPh sb="18" eb="20">
      <t>ネンキン</t>
    </rPh>
    <rPh sb="20" eb="22">
      <t>ショトク</t>
    </rPh>
    <rPh sb="25" eb="27">
      <t>バアイ</t>
    </rPh>
    <rPh sb="30" eb="32">
      <t>タイオウ</t>
    </rPh>
    <rPh sb="35" eb="37">
      <t>トクベツ</t>
    </rPh>
    <rPh sb="37" eb="40">
      <t>ショウガイシャ</t>
    </rPh>
    <rPh sb="41" eb="43">
      <t>フヨウ</t>
    </rPh>
    <rPh sb="43" eb="45">
      <t>シンゾク</t>
    </rPh>
    <rPh sb="46" eb="47">
      <t>フク</t>
    </rPh>
    <rPh sb="50" eb="52">
      <t>バアイ</t>
    </rPh>
    <rPh sb="53" eb="55">
      <t>チョウセイ</t>
    </rPh>
    <rPh sb="55" eb="57">
      <t>コウジョ</t>
    </rPh>
    <rPh sb="58" eb="60">
      <t>タイオウ</t>
    </rPh>
    <phoneticPr fontId="4"/>
  </si>
  <si>
    <t>所得分</t>
    <rPh sb="0" eb="3">
      <t>ショトクブン</t>
    </rPh>
    <phoneticPr fontId="4"/>
  </si>
  <si>
    <t>軽減分</t>
    <rPh sb="0" eb="3">
      <t>ケイゲンブン</t>
    </rPh>
    <phoneticPr fontId="4"/>
  </si>
  <si>
    <t>離職・調整控除後所得</t>
    <rPh sb="0" eb="2">
      <t>リショク</t>
    </rPh>
    <rPh sb="3" eb="8">
      <t>チョウセイコウジョゴ</t>
    </rPh>
    <rPh sb="8" eb="10">
      <t>ショトク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</si>
</sst>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411]ge\.m\.d;@"/>
    <numFmt numFmtId="177" formatCode="#,##0_);[Red]\(#,##0\)"/>
    <numFmt numFmtId="178" formatCode="#,##0_ "/>
    <numFmt numFmtId="179" formatCode="#&quot;割&quot;;;&quot;なし&quot;"/>
    <numFmt numFmtId="180" formatCode="&quot;年税額合計: &quot;#,##0;[Red]\-#,##0"/>
    <numFmt numFmtId="181" formatCode="0_ &quot;ヶ月&quot;;;&quot;なし&quot;"/>
    <numFmt numFmtId="182" formatCode="[$-411]ggge&quot;年&quot;m&quot;月&quot;d&quot;日&quot;;;"/>
    <numFmt numFmtId="183" formatCode="0_ &quot;年度&quot;"/>
    <numFmt numFmtId="184" formatCode="&quot;/ &quot;0_ "/>
    <numFmt numFmtId="185" formatCode="[$-411]ggge&quot;年&quot;m&quot;月&quot;d&quot;日&quot;;@"/>
    <numFmt numFmtId="186" formatCode="0_ &quot;回目&quot;"/>
    <numFmt numFmtId="187" formatCode="#&quot;月&quot;"/>
    <numFmt numFmtId="188" formatCode="#,##0;[Red]\-#,##0;"/>
    <numFmt numFmtId="189" formatCode="#,##0;\-#,##0;"/>
    <numFmt numFmtId="190" formatCode="m&quot;月&quot;d&quot;日&quot;;@"/>
    <numFmt numFmtId="191" formatCode="&quot;●&quot;@"/>
  </numFmts>
  <fonts count="58"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6"/>
      <name val="ＭＳ Ｐゴシック"/>
      <family val="3"/>
      <charset val="128"/>
    </font>
    <font>
      <b/>
      <sz val="14"/>
      <name val="ＭＳ Ｐゴシック"/>
      <family val="3"/>
      <charset val="128"/>
    </font>
    <font>
      <b/>
      <sz val="11"/>
      <name val="ＭＳ Ｐゴシック"/>
      <family val="3"/>
      <charset val="128"/>
    </font>
    <font>
      <b/>
      <sz val="9"/>
      <name val="ＭＳ Ｐゴシック"/>
      <family val="3"/>
      <charset val="128"/>
    </font>
    <font>
      <b/>
      <sz val="9"/>
      <color rgb="FFFF0000"/>
      <name val="ＭＳ Ｐゴシック"/>
      <family val="3"/>
      <charset val="128"/>
    </font>
    <font>
      <b/>
      <sz val="11"/>
      <color indexed="8"/>
      <name val="ＭＳ Ｐゴシック"/>
      <family val="3"/>
      <charset val="128"/>
    </font>
    <font>
      <sz val="9"/>
      <name val="ＭＳ Ｐゴシック"/>
      <family val="3"/>
      <charset val="128"/>
    </font>
    <font>
      <sz val="11"/>
      <name val="ＭＳ Ｐゴシック"/>
      <family val="3"/>
      <charset val="128"/>
    </font>
    <font>
      <sz val="9"/>
      <color theme="1"/>
      <name val="ＭＳ Ｐゴシック"/>
      <family val="3"/>
      <charset val="128"/>
    </font>
    <font>
      <sz val="10"/>
      <name val="ＭＳ Ｐゴシック"/>
      <family val="3"/>
      <charset val="128"/>
    </font>
    <font>
      <b/>
      <sz val="12"/>
      <name val="ＭＳ Ｐゴシック"/>
      <family val="3"/>
      <charset val="128"/>
    </font>
    <font>
      <sz val="11"/>
      <color rgb="FFFF0000"/>
      <name val="游ゴシック"/>
      <family val="3"/>
      <charset val="128"/>
      <scheme val="minor"/>
    </font>
    <font>
      <b/>
      <sz val="11"/>
      <color theme="1"/>
      <name val="游ゴシック"/>
      <family val="3"/>
      <charset val="128"/>
      <scheme val="minor"/>
    </font>
    <font>
      <sz val="9"/>
      <color rgb="FFFF0000"/>
      <name val="ＭＳ Ｐゴシック"/>
      <family val="3"/>
      <charset val="128"/>
    </font>
    <font>
      <b/>
      <sz val="11"/>
      <color rgb="FFFF0000"/>
      <name val="游ゴシック"/>
      <family val="3"/>
      <charset val="128"/>
      <scheme val="minor"/>
    </font>
    <font>
      <sz val="8"/>
      <color theme="5" tint="-0.249977111117893"/>
      <name val="游ゴシック"/>
      <family val="3"/>
      <charset val="128"/>
      <scheme val="minor"/>
    </font>
    <font>
      <sz val="11"/>
      <name val="游ゴシック"/>
      <family val="3"/>
      <charset val="128"/>
      <scheme val="minor"/>
    </font>
    <font>
      <sz val="11"/>
      <color theme="1"/>
      <name val="游ゴシック"/>
      <family val="3"/>
      <charset val="128"/>
      <scheme val="minor"/>
    </font>
    <font>
      <sz val="14"/>
      <color theme="1"/>
      <name val="游ゴシック"/>
      <family val="2"/>
      <charset val="128"/>
      <scheme val="minor"/>
    </font>
    <font>
      <b/>
      <sz val="16"/>
      <color theme="1"/>
      <name val="游ゴシック"/>
      <family val="3"/>
      <charset val="128"/>
      <scheme val="minor"/>
    </font>
    <font>
      <sz val="9"/>
      <color theme="1"/>
      <name val="游ゴシック"/>
      <family val="2"/>
      <charset val="128"/>
      <scheme val="minor"/>
    </font>
    <font>
      <b/>
      <sz val="14"/>
      <color theme="1"/>
      <name val="游ゴシック"/>
      <family val="3"/>
      <charset val="128"/>
      <scheme val="minor"/>
    </font>
    <font>
      <b/>
      <sz val="20"/>
      <color rgb="FFFF0000"/>
      <name val="游ゴシック"/>
      <family val="3"/>
      <charset val="128"/>
      <scheme val="minor"/>
    </font>
    <font>
      <sz val="9"/>
      <color theme="1"/>
      <name val="游ゴシック"/>
      <family val="3"/>
      <charset val="128"/>
      <scheme val="minor"/>
    </font>
    <font>
      <b/>
      <sz val="11"/>
      <color theme="0"/>
      <name val="游ゴシック"/>
      <family val="3"/>
      <charset val="128"/>
      <scheme val="minor"/>
    </font>
    <font>
      <b/>
      <sz val="11"/>
      <color theme="0"/>
      <name val="ＭＳ Ｐゴシック"/>
      <family val="3"/>
      <charset val="128"/>
    </font>
    <font>
      <b/>
      <sz val="11"/>
      <color theme="1"/>
      <name val="ＭＳ ゴシック"/>
      <family val="3"/>
      <charset val="128"/>
    </font>
    <font>
      <b/>
      <sz val="12"/>
      <name val="ＭＳ ゴシック"/>
      <family val="3"/>
      <charset val="128"/>
    </font>
    <font>
      <b/>
      <sz val="11"/>
      <name val="ＭＳ ゴシック"/>
      <family val="3"/>
      <charset val="128"/>
    </font>
    <font>
      <sz val="10"/>
      <name val="ＭＳ ゴシック"/>
      <family val="3"/>
      <charset val="128"/>
    </font>
    <font>
      <b/>
      <sz val="14"/>
      <name val="ＭＳ ゴシック"/>
      <family val="3"/>
      <charset val="128"/>
    </font>
    <font>
      <b/>
      <sz val="11"/>
      <color rgb="FFFF0000"/>
      <name val="ＭＳ ゴシック"/>
      <family val="3"/>
      <charset val="128"/>
    </font>
    <font>
      <sz val="11"/>
      <color theme="1"/>
      <name val="ＭＳ ゴシック"/>
      <family val="3"/>
      <charset val="128"/>
    </font>
    <font>
      <b/>
      <sz val="11"/>
      <color indexed="8"/>
      <name val="ＭＳ ゴシック"/>
      <family val="3"/>
      <charset val="128"/>
    </font>
    <font>
      <b/>
      <sz val="9"/>
      <name val="ＭＳ ゴシック"/>
      <family val="3"/>
      <charset val="128"/>
    </font>
    <font>
      <sz val="11"/>
      <color rgb="FFFF0000"/>
      <name val="ＭＳ ゴシック"/>
      <family val="3"/>
      <charset val="128"/>
    </font>
    <font>
      <sz val="11"/>
      <name val="ＭＳ ゴシック"/>
      <family val="3"/>
      <charset val="128"/>
    </font>
    <font>
      <sz val="8"/>
      <color theme="5" tint="-0.249977111117893"/>
      <name val="ＭＳ ゴシック"/>
      <family val="3"/>
      <charset val="128"/>
    </font>
    <font>
      <sz val="9"/>
      <name val="ＭＳ ゴシック"/>
      <family val="3"/>
      <charset val="128"/>
    </font>
    <font>
      <b/>
      <sz val="11"/>
      <color rgb="FFC00000"/>
      <name val="ＭＳ ゴシック"/>
      <family val="3"/>
      <charset val="128"/>
    </font>
    <font>
      <sz val="24"/>
      <color theme="1"/>
      <name val="ＭＳ ゴシック"/>
      <family val="3"/>
      <charset val="128"/>
    </font>
    <font>
      <sz val="6"/>
      <color theme="1"/>
      <name val="游ゴシック"/>
      <family val="2"/>
      <charset val="128"/>
      <scheme val="minor"/>
    </font>
    <font>
      <sz val="6"/>
      <color theme="1"/>
      <name val="游ゴシック"/>
      <family val="3"/>
      <charset val="128"/>
      <scheme val="minor"/>
    </font>
    <font>
      <sz val="11"/>
      <color rgb="FFFF0000"/>
      <name val="ＭＳ Ｐゴシック"/>
      <family val="3"/>
      <charset val="128"/>
    </font>
    <font>
      <sz val="11"/>
      <color rgb="FF0070C0"/>
      <name val="ＭＳ Ｐゴシック"/>
      <family val="3"/>
      <charset val="128"/>
    </font>
    <font>
      <sz val="11"/>
      <color rgb="FF0070C0"/>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9"/>
      <color rgb="FFFF0000"/>
      <name val="ＭＳ ゴシック"/>
      <family val="3"/>
      <charset val="128"/>
    </font>
    <font>
      <b/>
      <sz val="9"/>
      <color rgb="FF00B050"/>
      <name val="ＭＳ Ｐゴシック"/>
      <family val="3"/>
      <charset val="128"/>
    </font>
    <font>
      <b/>
      <sz val="11"/>
      <color rgb="FF00B050"/>
      <name val="游ゴシック"/>
      <family val="3"/>
      <charset val="128"/>
      <scheme val="minor"/>
    </font>
    <font>
      <sz val="9"/>
      <color theme="1"/>
      <name val="ＭＳ ゴシック"/>
      <family val="3"/>
      <charset val="128"/>
    </font>
    <font>
      <sz val="9"/>
      <color rgb="FFC00000"/>
      <name val="ＭＳ ゴシック"/>
      <family val="3"/>
      <charset val="128"/>
    </font>
    <font>
      <sz val="11"/>
      <name val="游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00B050"/>
        <bgColor indexed="64"/>
      </patternFill>
    </fill>
    <fill>
      <patternFill patternType="solid">
        <fgColor rgb="FFFF0000"/>
        <bgColor indexed="64"/>
      </patternFill>
    </fill>
  </fills>
  <borders count="102">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thick">
        <color auto="1"/>
      </right>
      <top style="thin">
        <color indexed="64"/>
      </top>
      <bottom/>
      <diagonal/>
    </border>
    <border>
      <left style="medium">
        <color rgb="FFFF0000"/>
      </left>
      <right style="medium">
        <color rgb="FFFF0000"/>
      </right>
      <top style="medium">
        <color rgb="FFFF0000"/>
      </top>
      <bottom style="medium">
        <color rgb="FFFF0000"/>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medium">
        <color indexed="64"/>
      </left>
      <right/>
      <top/>
      <bottom/>
      <diagonal/>
    </border>
    <border>
      <left/>
      <right/>
      <top style="thick">
        <color auto="1"/>
      </top>
      <bottom style="thick">
        <color auto="1"/>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ck">
        <color auto="1"/>
      </bottom>
      <diagonal/>
    </border>
    <border>
      <left/>
      <right style="thin">
        <color indexed="64"/>
      </right>
      <top/>
      <bottom style="thick">
        <color auto="1"/>
      </bottom>
      <diagonal/>
    </border>
    <border>
      <left/>
      <right style="thin">
        <color indexed="64"/>
      </right>
      <top/>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right style="thick">
        <color rgb="FF00B0F0"/>
      </right>
      <top style="thick">
        <color rgb="FF00B0F0"/>
      </top>
      <bottom style="thick">
        <color rgb="FF00B0F0"/>
      </bottom>
      <diagonal/>
    </border>
    <border>
      <left style="thick">
        <color rgb="FF00B0F0"/>
      </left>
      <right/>
      <top style="thick">
        <color rgb="FF00B0F0"/>
      </top>
      <bottom style="thick">
        <color rgb="FFFF0000"/>
      </bottom>
      <diagonal/>
    </border>
    <border>
      <left/>
      <right/>
      <top style="thick">
        <color rgb="FF00B0F0"/>
      </top>
      <bottom style="thick">
        <color rgb="FFFF0000"/>
      </bottom>
      <diagonal/>
    </border>
    <border>
      <left/>
      <right style="thick">
        <color rgb="FF00B0F0"/>
      </right>
      <top style="thick">
        <color rgb="FF00B0F0"/>
      </top>
      <bottom style="thick">
        <color rgb="FFFF0000"/>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18">
    <xf numFmtId="0" fontId="0" fillId="0" borderId="0" xfId="0">
      <alignment vertical="center"/>
    </xf>
    <xf numFmtId="0" fontId="0" fillId="0" borderId="0" xfId="0" applyFill="1" applyAlignment="1" applyProtection="1">
      <alignment vertical="center" shrinkToFit="1"/>
      <protection hidden="1"/>
    </xf>
    <xf numFmtId="0" fontId="0" fillId="0" borderId="0" xfId="0" applyFill="1" applyAlignment="1" applyProtection="1">
      <alignment horizontal="center" vertical="center" shrinkToFit="1"/>
      <protection hidden="1"/>
    </xf>
    <xf numFmtId="176" fontId="0" fillId="0" borderId="0" xfId="0" applyNumberFormat="1" applyFill="1" applyAlignment="1" applyProtection="1">
      <alignment vertical="center" shrinkToFit="1"/>
      <protection hidden="1"/>
    </xf>
    <xf numFmtId="38" fontId="0" fillId="0" borderId="6" xfId="1" applyFont="1" applyFill="1" applyBorder="1" applyAlignment="1" applyProtection="1">
      <alignment vertical="center" shrinkToFit="1"/>
      <protection hidden="1"/>
    </xf>
    <xf numFmtId="0" fontId="0" fillId="0" borderId="0" xfId="0" applyFill="1" applyBorder="1" applyAlignment="1" applyProtection="1">
      <alignment vertical="center" shrinkToFit="1"/>
      <protection hidden="1"/>
    </xf>
    <xf numFmtId="0" fontId="6" fillId="0" borderId="0" xfId="0" applyFont="1" applyBorder="1" applyAlignment="1" applyProtection="1">
      <alignment vertical="center" shrinkToFit="1"/>
      <protection hidden="1"/>
    </xf>
    <xf numFmtId="0" fontId="0" fillId="0" borderId="0" xfId="0" applyBorder="1" applyAlignment="1" applyProtection="1">
      <alignment horizontal="center" vertical="center" shrinkToFit="1"/>
      <protection hidden="1"/>
    </xf>
    <xf numFmtId="0" fontId="0" fillId="0" borderId="0" xfId="0" applyAlignment="1" applyProtection="1">
      <alignment vertical="center" shrinkToFit="1"/>
      <protection hidden="1"/>
    </xf>
    <xf numFmtId="38" fontId="0" fillId="0" borderId="0" xfId="1" applyFont="1" applyAlignment="1" applyProtection="1">
      <alignment vertical="center" shrinkToFit="1"/>
      <protection hidden="1"/>
    </xf>
    <xf numFmtId="38" fontId="0" fillId="0" borderId="6" xfId="1" applyFont="1" applyBorder="1" applyAlignment="1" applyProtection="1">
      <alignment vertical="center" shrinkToFit="1"/>
      <protection hidden="1"/>
    </xf>
    <xf numFmtId="0" fontId="6" fillId="0" borderId="0" xfId="0" applyFont="1" applyAlignment="1" applyProtection="1">
      <alignment vertical="center" shrinkToFit="1"/>
      <protection hidden="1"/>
    </xf>
    <xf numFmtId="38" fontId="0" fillId="0" borderId="0" xfId="1" applyFont="1" applyFill="1" applyAlignment="1" applyProtection="1">
      <alignment vertical="center" shrinkToFit="1"/>
      <protection hidden="1"/>
    </xf>
    <xf numFmtId="176" fontId="0" fillId="0" borderId="0" xfId="0" applyNumberFormat="1" applyFont="1" applyFill="1" applyAlignment="1" applyProtection="1">
      <alignment vertical="center" shrinkToFit="1"/>
      <protection hidden="1"/>
    </xf>
    <xf numFmtId="0" fontId="0" fillId="0" borderId="0" xfId="0" applyFill="1">
      <alignment vertical="center"/>
    </xf>
    <xf numFmtId="0" fontId="0" fillId="0" borderId="0" xfId="0" applyFill="1" applyBorder="1">
      <alignment vertical="center"/>
    </xf>
    <xf numFmtId="0" fontId="0" fillId="0" borderId="13" xfId="0" applyFill="1" applyBorder="1" applyAlignment="1">
      <alignment horizontal="center" vertical="center"/>
    </xf>
    <xf numFmtId="0" fontId="0" fillId="0" borderId="28" xfId="0" applyFill="1" applyBorder="1" applyAlignment="1">
      <alignment horizontal="center" vertical="center"/>
    </xf>
    <xf numFmtId="0" fontId="0" fillId="0" borderId="23" xfId="0" applyFill="1" applyBorder="1" applyAlignment="1">
      <alignment vertical="center"/>
    </xf>
    <xf numFmtId="0" fontId="0" fillId="0" borderId="26" xfId="0" applyFill="1" applyBorder="1" applyAlignment="1">
      <alignment vertical="center"/>
    </xf>
    <xf numFmtId="0" fontId="0" fillId="0" borderId="0" xfId="0" applyFill="1" applyAlignment="1">
      <alignment horizontal="center" vertical="center"/>
    </xf>
    <xf numFmtId="0" fontId="18" fillId="2" borderId="6" xfId="0" applyFont="1" applyFill="1" applyBorder="1" applyAlignment="1" applyProtection="1">
      <alignment horizontal="center" vertical="center"/>
      <protection locked="0"/>
    </xf>
    <xf numFmtId="38" fontId="0" fillId="0" borderId="6" xfId="1" applyFont="1" applyFill="1" applyBorder="1" applyAlignment="1" applyProtection="1">
      <alignment vertical="center" shrinkToFit="1"/>
      <protection hidden="1"/>
    </xf>
    <xf numFmtId="38" fontId="11" fillId="0" borderId="6" xfId="1" applyFont="1" applyFill="1" applyBorder="1" applyAlignment="1">
      <alignment horizontal="center" vertical="center"/>
    </xf>
    <xf numFmtId="38" fontId="11" fillId="0" borderId="31" xfId="1" applyFont="1" applyFill="1" applyBorder="1" applyAlignment="1">
      <alignment horizontal="center" vertical="center"/>
    </xf>
    <xf numFmtId="38" fontId="11" fillId="0" borderId="10" xfId="1" applyFont="1" applyFill="1" applyBorder="1" applyAlignment="1">
      <alignment horizontal="center" vertical="center"/>
    </xf>
    <xf numFmtId="38" fontId="11" fillId="0" borderId="25" xfId="1" applyFont="1" applyFill="1" applyBorder="1" applyAlignment="1">
      <alignment horizontal="center" vertical="center"/>
    </xf>
    <xf numFmtId="0" fontId="0" fillId="0" borderId="29" xfId="0" applyFill="1" applyBorder="1" applyAlignment="1">
      <alignment vertical="center" shrinkToFit="1"/>
    </xf>
    <xf numFmtId="10" fontId="11" fillId="0" borderId="6" xfId="2" applyNumberFormat="1" applyFont="1" applyFill="1" applyBorder="1" applyAlignment="1">
      <alignment horizontal="center" vertical="center"/>
    </xf>
    <xf numFmtId="0" fontId="11" fillId="0" borderId="19" xfId="0" applyFont="1" applyFill="1" applyBorder="1" applyAlignment="1">
      <alignment vertical="center"/>
    </xf>
    <xf numFmtId="0" fontId="0" fillId="0" borderId="29" xfId="0" applyFill="1" applyBorder="1" applyAlignment="1">
      <alignment horizontal="center" vertical="center" shrinkToFit="1"/>
    </xf>
    <xf numFmtId="0" fontId="0" fillId="0" borderId="23" xfId="0" applyFill="1" applyBorder="1" applyAlignment="1">
      <alignment horizontal="center" vertical="center"/>
    </xf>
    <xf numFmtId="0" fontId="0" fillId="0" borderId="26" xfId="0" applyFill="1" applyBorder="1" applyAlignment="1">
      <alignment horizontal="center" vertical="center"/>
    </xf>
    <xf numFmtId="10" fontId="11" fillId="0" borderId="10" xfId="2" applyNumberFormat="1" applyFont="1" applyFill="1" applyBorder="1" applyAlignment="1">
      <alignment horizontal="center" vertical="center"/>
    </xf>
    <xf numFmtId="180" fontId="18" fillId="0" borderId="13" xfId="0" applyNumberFormat="1" applyFont="1" applyBorder="1" applyAlignment="1">
      <alignment horizontal="right" vertical="center"/>
    </xf>
    <xf numFmtId="0" fontId="0" fillId="0" borderId="53" xfId="0" applyBorder="1" applyAlignment="1">
      <alignment horizontal="center" vertical="center"/>
    </xf>
    <xf numFmtId="180" fontId="18" fillId="0" borderId="28" xfId="0" applyNumberFormat="1" applyFont="1"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shrinkToFit="1"/>
    </xf>
    <xf numFmtId="0" fontId="0" fillId="0" borderId="25" xfId="0" applyBorder="1" applyAlignment="1">
      <alignment horizontal="center" vertical="center" shrinkToFit="1"/>
    </xf>
    <xf numFmtId="0" fontId="0" fillId="0" borderId="55" xfId="0" applyBorder="1" applyAlignment="1">
      <alignment horizontal="center" vertical="center"/>
    </xf>
    <xf numFmtId="0" fontId="21" fillId="0" borderId="5" xfId="0" applyFont="1" applyBorder="1" applyAlignment="1">
      <alignment horizontal="center" vertical="center"/>
    </xf>
    <xf numFmtId="0" fontId="20" fillId="0" borderId="5" xfId="0" applyFont="1" applyBorder="1" applyAlignment="1">
      <alignment horizontal="center" vertical="center"/>
    </xf>
    <xf numFmtId="0" fontId="21" fillId="0" borderId="4" xfId="0" applyFont="1" applyBorder="1" applyAlignment="1">
      <alignment horizontal="center" vertical="center"/>
    </xf>
    <xf numFmtId="0" fontId="0" fillId="0" borderId="54" xfId="0" applyBorder="1" applyAlignment="1">
      <alignment horizontal="center" vertical="center" shrinkToFit="1"/>
    </xf>
    <xf numFmtId="0" fontId="0" fillId="0" borderId="13" xfId="0" applyFont="1" applyBorder="1" applyAlignment="1">
      <alignment horizontal="center" vertical="center" shrinkToFit="1"/>
    </xf>
    <xf numFmtId="0" fontId="16" fillId="0" borderId="54" xfId="0" applyFont="1" applyBorder="1" applyAlignment="1">
      <alignment horizontal="center" vertical="center"/>
    </xf>
    <xf numFmtId="0" fontId="0" fillId="0" borderId="57" xfId="0" applyBorder="1" applyAlignment="1">
      <alignment horizontal="center" vertical="center"/>
    </xf>
    <xf numFmtId="38" fontId="0" fillId="0" borderId="58" xfId="1" applyFont="1" applyBorder="1">
      <alignment vertical="center"/>
    </xf>
    <xf numFmtId="38" fontId="0" fillId="0" borderId="58" xfId="0" applyNumberFormat="1" applyBorder="1">
      <alignment vertical="center"/>
    </xf>
    <xf numFmtId="0" fontId="0" fillId="0" borderId="61" xfId="0" applyBorder="1" applyAlignment="1">
      <alignment horizontal="center" vertical="center"/>
    </xf>
    <xf numFmtId="38" fontId="0" fillId="0" borderId="62" xfId="1" applyFont="1" applyBorder="1">
      <alignment vertical="center"/>
    </xf>
    <xf numFmtId="38" fontId="0" fillId="0" borderId="62" xfId="0" applyNumberFormat="1" applyBorder="1">
      <alignment vertical="center"/>
    </xf>
    <xf numFmtId="0" fontId="0" fillId="0" borderId="65" xfId="0" applyBorder="1" applyAlignment="1">
      <alignment horizontal="center" vertical="center"/>
    </xf>
    <xf numFmtId="38" fontId="0" fillId="0" borderId="66" xfId="1" applyFont="1" applyBorder="1">
      <alignment vertical="center"/>
    </xf>
    <xf numFmtId="38" fontId="0" fillId="0" borderId="66" xfId="0" applyNumberFormat="1" applyBorder="1">
      <alignment vertical="center"/>
    </xf>
    <xf numFmtId="38" fontId="0" fillId="0" borderId="68" xfId="0" applyNumberFormat="1" applyBorder="1">
      <alignment vertical="center"/>
    </xf>
    <xf numFmtId="38" fontId="0" fillId="0" borderId="69" xfId="0" applyNumberFormat="1" applyBorder="1">
      <alignment vertical="center"/>
    </xf>
    <xf numFmtId="38" fontId="0" fillId="0" borderId="70" xfId="0" applyNumberFormat="1" applyBorder="1">
      <alignment vertical="center"/>
    </xf>
    <xf numFmtId="181" fontId="0" fillId="0" borderId="57" xfId="0" applyNumberFormat="1" applyBorder="1" applyAlignment="1">
      <alignment horizontal="center" vertical="center"/>
    </xf>
    <xf numFmtId="181" fontId="0" fillId="0" borderId="61" xfId="0" applyNumberFormat="1" applyBorder="1" applyAlignment="1">
      <alignment horizontal="center" vertical="center"/>
    </xf>
    <xf numFmtId="181" fontId="0" fillId="0" borderId="65" xfId="0" applyNumberFormat="1" applyBorder="1" applyAlignment="1">
      <alignment horizontal="center" vertical="center"/>
    </xf>
    <xf numFmtId="181" fontId="0" fillId="0" borderId="60" xfId="0" applyNumberFormat="1" applyBorder="1" applyAlignment="1">
      <alignment horizontal="center" vertical="center"/>
    </xf>
    <xf numFmtId="181" fontId="0" fillId="0" borderId="64" xfId="0" applyNumberFormat="1" applyBorder="1" applyAlignment="1">
      <alignment horizontal="center" vertical="center"/>
    </xf>
    <xf numFmtId="181" fontId="0" fillId="0" borderId="67" xfId="0" applyNumberFormat="1" applyBorder="1" applyAlignment="1">
      <alignment horizontal="center" vertical="center"/>
    </xf>
    <xf numFmtId="38" fontId="26" fillId="0" borderId="72" xfId="0" applyNumberFormat="1" applyFont="1" applyBorder="1">
      <alignment vertical="center"/>
    </xf>
    <xf numFmtId="0" fontId="25" fillId="0" borderId="0" xfId="0" applyFont="1" applyAlignment="1">
      <alignment vertical="center"/>
    </xf>
    <xf numFmtId="0" fontId="23" fillId="0" borderId="0" xfId="0" applyFont="1" applyAlignment="1">
      <alignment vertical="center"/>
    </xf>
    <xf numFmtId="183" fontId="0" fillId="0" borderId="0" xfId="0" applyNumberFormat="1" applyFill="1" applyAlignment="1" applyProtection="1">
      <alignment vertical="center" shrinkToFit="1"/>
      <protection hidden="1"/>
    </xf>
    <xf numFmtId="38" fontId="0" fillId="0" borderId="0" xfId="0" applyNumberFormat="1" applyFill="1" applyAlignment="1" applyProtection="1">
      <alignment vertical="center" shrinkToFit="1"/>
      <protection hidden="1"/>
    </xf>
    <xf numFmtId="184" fontId="0" fillId="0" borderId="0" xfId="0" applyNumberFormat="1" applyFill="1" applyAlignment="1" applyProtection="1">
      <alignment horizontal="left" vertical="center" shrinkToFit="1"/>
      <protection hidden="1"/>
    </xf>
    <xf numFmtId="185" fontId="0" fillId="0" borderId="0" xfId="0" applyNumberFormat="1" applyFill="1" applyAlignment="1" applyProtection="1">
      <alignment vertical="center" shrinkToFit="1"/>
      <protection hidden="1"/>
    </xf>
    <xf numFmtId="186" fontId="0" fillId="0" borderId="0" xfId="0" applyNumberFormat="1" applyFill="1" applyAlignment="1" applyProtection="1">
      <alignment vertical="center" shrinkToFit="1"/>
      <protection hidden="1"/>
    </xf>
    <xf numFmtId="187" fontId="0" fillId="0" borderId="0" xfId="0" applyNumberFormat="1" applyFill="1" applyAlignment="1" applyProtection="1">
      <alignment vertical="center" shrinkToFit="1"/>
      <protection hidden="1"/>
    </xf>
    <xf numFmtId="185" fontId="0" fillId="0" borderId="0" xfId="0" applyNumberFormat="1" applyFill="1" applyAlignment="1" applyProtection="1">
      <alignment horizontal="right" vertical="center" shrinkToFit="1"/>
      <protection hidden="1"/>
    </xf>
    <xf numFmtId="188" fontId="0" fillId="0" borderId="0" xfId="0" applyNumberFormat="1" applyFill="1" applyAlignment="1" applyProtection="1">
      <alignment vertical="center" shrinkToFit="1"/>
      <protection hidden="1"/>
    </xf>
    <xf numFmtId="188" fontId="0" fillId="0" borderId="0" xfId="1" applyNumberFormat="1" applyFont="1" applyFill="1" applyAlignment="1" applyProtection="1">
      <alignment vertical="center" shrinkToFit="1"/>
      <protection hidden="1"/>
    </xf>
    <xf numFmtId="189" fontId="0" fillId="0" borderId="6" xfId="0" applyNumberFormat="1" applyBorder="1" applyAlignment="1">
      <alignment vertical="center"/>
    </xf>
    <xf numFmtId="0" fontId="0" fillId="0" borderId="0" xfId="0" applyBorder="1" applyAlignment="1">
      <alignment horizontal="center" vertical="center"/>
    </xf>
    <xf numFmtId="190" fontId="24" fillId="0" borderId="0" xfId="0" applyNumberFormat="1" applyFont="1" applyBorder="1" applyAlignment="1">
      <alignment horizontal="right" vertical="center"/>
    </xf>
    <xf numFmtId="189" fontId="0" fillId="0" borderId="0" xfId="0" applyNumberFormat="1" applyBorder="1" applyAlignment="1">
      <alignment vertical="center"/>
    </xf>
    <xf numFmtId="0" fontId="0" fillId="0" borderId="7" xfId="0" applyBorder="1" applyAlignment="1">
      <alignment horizontal="center" vertical="center"/>
    </xf>
    <xf numFmtId="0" fontId="28" fillId="5" borderId="0" xfId="0" applyFont="1" applyFill="1" applyAlignment="1" applyProtection="1">
      <alignment vertical="center" shrinkToFit="1"/>
      <protection hidden="1"/>
    </xf>
    <xf numFmtId="38" fontId="0" fillId="0" borderId="0" xfId="1" applyFont="1" applyFill="1" applyBorder="1" applyAlignment="1" applyProtection="1">
      <alignment vertical="center" shrinkToFit="1"/>
      <protection hidden="1"/>
    </xf>
    <xf numFmtId="38" fontId="0" fillId="0" borderId="0" xfId="1" applyFont="1" applyBorder="1" applyAlignment="1" applyProtection="1">
      <alignment vertical="center" shrinkToFit="1"/>
      <protection hidden="1"/>
    </xf>
    <xf numFmtId="185" fontId="24" fillId="0" borderId="6" xfId="0" applyNumberFormat="1" applyFont="1" applyBorder="1" applyAlignment="1">
      <alignment horizontal="right" vertical="center" shrinkToFit="1"/>
    </xf>
    <xf numFmtId="189" fontId="0" fillId="0" borderId="7" xfId="0" applyNumberFormat="1" applyBorder="1" applyAlignment="1">
      <alignment vertical="center"/>
    </xf>
    <xf numFmtId="0" fontId="0" fillId="0" borderId="8" xfId="0" applyBorder="1" applyAlignment="1">
      <alignment horizontal="center" vertical="center"/>
    </xf>
    <xf numFmtId="185" fontId="24" fillId="0" borderId="8" xfId="0" applyNumberFormat="1" applyFont="1" applyBorder="1" applyAlignment="1">
      <alignment horizontal="right" vertical="center" shrinkToFit="1"/>
    </xf>
    <xf numFmtId="0" fontId="0" fillId="0" borderId="75" xfId="0" applyBorder="1" applyAlignment="1">
      <alignment horizontal="center" vertical="center"/>
    </xf>
    <xf numFmtId="0" fontId="0" fillId="0" borderId="76" xfId="0" applyBorder="1" applyAlignment="1">
      <alignment horizontal="center" vertical="center"/>
    </xf>
    <xf numFmtId="185" fontId="24" fillId="0" borderId="75" xfId="0" applyNumberFormat="1" applyFont="1" applyBorder="1" applyAlignment="1">
      <alignment horizontal="right" vertical="center" shrinkToFit="1"/>
    </xf>
    <xf numFmtId="189" fontId="0" fillId="0" borderId="76" xfId="0" applyNumberFormat="1" applyBorder="1" applyAlignment="1">
      <alignment vertical="center"/>
    </xf>
    <xf numFmtId="0" fontId="30" fillId="0" borderId="0" xfId="0" applyFont="1" applyFill="1" applyBorder="1" applyAlignment="1">
      <alignment horizontal="center" vertical="center"/>
    </xf>
    <xf numFmtId="0" fontId="31" fillId="0" borderId="0" xfId="0" applyNumberFormat="1" applyFont="1" applyFill="1" applyBorder="1" applyAlignment="1">
      <alignment vertical="center"/>
    </xf>
    <xf numFmtId="0" fontId="32" fillId="0" borderId="0" xfId="0" applyNumberFormat="1" applyFont="1" applyFill="1" applyBorder="1" applyAlignment="1">
      <alignment vertical="center"/>
    </xf>
    <xf numFmtId="0" fontId="33" fillId="0" borderId="0" xfId="0" applyNumberFormat="1" applyFont="1" applyFill="1" applyBorder="1" applyAlignment="1">
      <alignment vertical="center"/>
    </xf>
    <xf numFmtId="0" fontId="34" fillId="0" borderId="0" xfId="0" applyNumberFormat="1" applyFont="1" applyFill="1" applyBorder="1" applyAlignment="1">
      <alignment vertical="center"/>
    </xf>
    <xf numFmtId="0" fontId="35" fillId="0" borderId="0" xfId="0" applyNumberFormat="1" applyFont="1" applyFill="1" applyBorder="1" applyAlignment="1">
      <alignment vertical="center"/>
    </xf>
    <xf numFmtId="0" fontId="35" fillId="0" borderId="0" xfId="0" applyNumberFormat="1" applyFont="1" applyFill="1" applyBorder="1" applyAlignment="1" applyProtection="1">
      <alignment vertical="center"/>
      <protection locked="0"/>
    </xf>
    <xf numFmtId="0" fontId="36" fillId="0" borderId="0" xfId="0" applyNumberFormat="1" applyFont="1" applyFill="1" applyBorder="1" applyAlignment="1">
      <alignment vertical="center"/>
    </xf>
    <xf numFmtId="0" fontId="37" fillId="0" borderId="0" xfId="0" applyNumberFormat="1" applyFont="1" applyFill="1" applyBorder="1" applyAlignment="1" applyProtection="1">
      <alignment vertical="center"/>
      <protection hidden="1"/>
    </xf>
    <xf numFmtId="0" fontId="38" fillId="0" borderId="0" xfId="0" applyNumberFormat="1" applyFont="1" applyFill="1" applyBorder="1" applyAlignment="1">
      <alignment vertical="center"/>
    </xf>
    <xf numFmtId="0" fontId="36" fillId="0" borderId="0" xfId="0" applyNumberFormat="1" applyFont="1" applyFill="1" applyBorder="1" applyAlignment="1" applyProtection="1">
      <alignment vertical="center"/>
      <protection hidden="1"/>
    </xf>
    <xf numFmtId="0" fontId="39" fillId="0" borderId="0" xfId="0" applyNumberFormat="1" applyFont="1" applyFill="1" applyBorder="1" applyAlignment="1">
      <alignment vertical="center"/>
    </xf>
    <xf numFmtId="0" fontId="36" fillId="0" borderId="0" xfId="0" applyNumberFormat="1" applyFont="1" applyFill="1" applyBorder="1" applyAlignment="1" applyProtection="1">
      <alignment vertical="center"/>
    </xf>
    <xf numFmtId="0" fontId="40" fillId="0" borderId="0" xfId="1" applyNumberFormat="1" applyFont="1" applyFill="1" applyBorder="1" applyAlignment="1">
      <alignment vertical="center"/>
    </xf>
    <xf numFmtId="0" fontId="36" fillId="0" borderId="0" xfId="1" applyNumberFormat="1" applyFont="1" applyFill="1" applyBorder="1" applyAlignment="1" applyProtection="1">
      <alignment vertical="center"/>
    </xf>
    <xf numFmtId="0" fontId="36" fillId="0" borderId="0" xfId="1" applyNumberFormat="1" applyFont="1" applyFill="1" applyBorder="1" applyAlignment="1" applyProtection="1">
      <alignment vertical="center"/>
      <protection hidden="1"/>
    </xf>
    <xf numFmtId="0" fontId="41" fillId="0" borderId="0" xfId="0" applyNumberFormat="1" applyFont="1" applyFill="1" applyBorder="1" applyAlignment="1">
      <alignment vertical="center"/>
    </xf>
    <xf numFmtId="0" fontId="40" fillId="0" borderId="0" xfId="1" applyNumberFormat="1" applyFont="1" applyFill="1" applyBorder="1" applyAlignment="1" applyProtection="1">
      <alignment vertical="center"/>
      <protection hidden="1"/>
    </xf>
    <xf numFmtId="0" fontId="40" fillId="0" borderId="0" xfId="1" applyNumberFormat="1" applyFont="1" applyFill="1" applyBorder="1" applyAlignment="1" applyProtection="1">
      <alignment vertical="center"/>
    </xf>
    <xf numFmtId="0" fontId="36" fillId="0" borderId="0" xfId="1" applyNumberFormat="1" applyFont="1" applyFill="1" applyBorder="1" applyAlignment="1">
      <alignment vertical="center"/>
    </xf>
    <xf numFmtId="0" fontId="30" fillId="0" borderId="0" xfId="0" applyFont="1" applyFill="1">
      <alignment vertical="center"/>
    </xf>
    <xf numFmtId="0" fontId="36" fillId="0" borderId="0" xfId="0" applyFont="1" applyFill="1">
      <alignment vertical="center"/>
    </xf>
    <xf numFmtId="0" fontId="42" fillId="0" borderId="0" xfId="0" applyFont="1" applyFill="1">
      <alignment vertical="center"/>
    </xf>
    <xf numFmtId="0" fontId="40" fillId="0" borderId="0" xfId="0" applyFont="1" applyFill="1">
      <alignment vertical="center"/>
    </xf>
    <xf numFmtId="0" fontId="40" fillId="0" borderId="0" xfId="0" applyFont="1" applyFill="1" applyBorder="1">
      <alignment vertical="center"/>
    </xf>
    <xf numFmtId="0" fontId="36" fillId="0" borderId="0" xfId="0" applyFont="1" applyFill="1" applyBorder="1">
      <alignment vertical="center"/>
    </xf>
    <xf numFmtId="0" fontId="33" fillId="0" borderId="0" xfId="0" applyFont="1" applyFill="1" applyBorder="1">
      <alignment vertical="center"/>
    </xf>
    <xf numFmtId="0" fontId="32" fillId="0" borderId="22" xfId="0" applyFont="1" applyFill="1" applyBorder="1">
      <alignment vertical="center"/>
    </xf>
    <xf numFmtId="0" fontId="36" fillId="0" borderId="23" xfId="0" applyFont="1" applyFill="1" applyBorder="1">
      <alignment vertical="center"/>
    </xf>
    <xf numFmtId="38" fontId="40" fillId="0" borderId="7" xfId="1" applyFont="1" applyFill="1" applyBorder="1">
      <alignment vertical="center"/>
    </xf>
    <xf numFmtId="0" fontId="36" fillId="0" borderId="19" xfId="0" applyFont="1" applyFill="1" applyBorder="1">
      <alignment vertical="center"/>
    </xf>
    <xf numFmtId="38" fontId="40" fillId="0" borderId="0" xfId="1" applyFont="1" applyFill="1" applyBorder="1">
      <alignment vertical="center"/>
    </xf>
    <xf numFmtId="0" fontId="36" fillId="0" borderId="24" xfId="0" applyFont="1" applyFill="1" applyBorder="1">
      <alignment vertical="center"/>
    </xf>
    <xf numFmtId="0" fontId="36" fillId="0" borderId="26" xfId="0" applyFont="1" applyFill="1" applyBorder="1">
      <alignment vertical="center"/>
    </xf>
    <xf numFmtId="38" fontId="40" fillId="0" borderId="11" xfId="1" applyFont="1" applyFill="1" applyBorder="1">
      <alignment vertical="center"/>
    </xf>
    <xf numFmtId="0" fontId="36" fillId="0" borderId="22" xfId="0" applyFont="1" applyFill="1" applyBorder="1">
      <alignment vertical="center"/>
    </xf>
    <xf numFmtId="179" fontId="36" fillId="0" borderId="43" xfId="0" applyNumberFormat="1" applyFont="1" applyFill="1" applyBorder="1" applyAlignment="1">
      <alignment horizontal="center" vertical="center"/>
    </xf>
    <xf numFmtId="38" fontId="36" fillId="4" borderId="0" xfId="0" applyNumberFormat="1" applyFont="1" applyFill="1" applyBorder="1" applyAlignment="1">
      <alignment vertical="center"/>
    </xf>
    <xf numFmtId="9" fontId="36" fillId="0" borderId="2" xfId="0" applyNumberFormat="1" applyFont="1" applyFill="1" applyBorder="1">
      <alignment vertical="center"/>
    </xf>
    <xf numFmtId="38" fontId="36" fillId="0" borderId="0" xfId="1" applyFont="1" applyFill="1" applyBorder="1" applyAlignment="1">
      <alignment horizontal="right" vertical="center"/>
    </xf>
    <xf numFmtId="0" fontId="36" fillId="0" borderId="0" xfId="0" applyFont="1" applyFill="1" applyBorder="1" applyAlignment="1">
      <alignment horizontal="right" vertical="center"/>
    </xf>
    <xf numFmtId="0" fontId="36" fillId="0" borderId="0" xfId="0" applyFont="1" applyFill="1" applyAlignment="1">
      <alignment horizontal="right" vertical="center"/>
    </xf>
    <xf numFmtId="0" fontId="36" fillId="0" borderId="0" xfId="0" applyFont="1" applyFill="1" applyBorder="1" applyAlignment="1">
      <alignment horizontal="center" vertical="center"/>
    </xf>
    <xf numFmtId="178" fontId="36" fillId="0" borderId="0" xfId="0" applyNumberFormat="1" applyFont="1" applyFill="1" applyBorder="1">
      <alignment vertical="center"/>
    </xf>
    <xf numFmtId="177" fontId="36" fillId="0" borderId="0" xfId="0" applyNumberFormat="1" applyFont="1" applyFill="1" applyBorder="1">
      <alignment vertical="center"/>
    </xf>
    <xf numFmtId="0" fontId="40" fillId="0" borderId="0" xfId="0" applyFont="1" applyFill="1" applyBorder="1" applyAlignment="1">
      <alignment horizontal="left" vertical="center"/>
    </xf>
    <xf numFmtId="57" fontId="40" fillId="0" borderId="0" xfId="0" applyNumberFormat="1" applyFont="1" applyFill="1" applyBorder="1" applyAlignment="1">
      <alignment vertical="center"/>
    </xf>
    <xf numFmtId="0" fontId="0" fillId="0" borderId="0" xfId="0" applyBorder="1" applyAlignment="1">
      <alignment vertical="center"/>
    </xf>
    <xf numFmtId="0" fontId="43" fillId="0" borderId="0" xfId="0" applyFont="1" applyFill="1" applyBorder="1" applyAlignment="1">
      <alignment horizontal="right" vertical="center"/>
    </xf>
    <xf numFmtId="0" fontId="40" fillId="0" borderId="0" xfId="0" applyFont="1" applyFill="1" applyBorder="1" applyAlignment="1">
      <alignment horizontal="right" vertical="center"/>
    </xf>
    <xf numFmtId="38" fontId="40" fillId="0" borderId="0" xfId="0" applyNumberFormat="1" applyFont="1" applyFill="1" applyBorder="1" applyAlignment="1">
      <alignment horizontal="right" vertical="center"/>
    </xf>
    <xf numFmtId="38" fontId="21" fillId="0" borderId="7" xfId="1" applyFont="1" applyFill="1" applyBorder="1" applyAlignment="1" applyProtection="1">
      <alignment vertical="center"/>
    </xf>
    <xf numFmtId="38" fontId="21" fillId="0" borderId="31" xfId="1" applyFont="1" applyFill="1" applyBorder="1" applyAlignment="1" applyProtection="1">
      <alignment vertical="center"/>
    </xf>
    <xf numFmtId="0" fontId="14" fillId="0" borderId="32" xfId="0" applyFont="1" applyFill="1" applyBorder="1" applyAlignment="1" applyProtection="1">
      <alignment horizontal="right" vertical="center"/>
    </xf>
    <xf numFmtId="0" fontId="6" fillId="0" borderId="0" xfId="0" applyFont="1" applyFill="1" applyAlignment="1" applyProtection="1">
      <alignment horizontal="left" vertical="center"/>
    </xf>
    <xf numFmtId="0" fontId="13" fillId="0" borderId="0" xfId="0" applyFont="1" applyFill="1" applyAlignment="1" applyProtection="1">
      <alignment vertical="center"/>
    </xf>
    <xf numFmtId="0" fontId="5" fillId="0" borderId="0" xfId="0" applyFont="1" applyFill="1" applyAlignment="1" applyProtection="1">
      <alignment vertical="center"/>
    </xf>
    <xf numFmtId="0" fontId="16" fillId="0" borderId="0" xfId="0" applyFont="1" applyFill="1" applyProtection="1">
      <alignment vertical="center"/>
    </xf>
    <xf numFmtId="0" fontId="0" fillId="0" borderId="0" xfId="0" applyFill="1" applyProtection="1">
      <alignment vertical="center"/>
    </xf>
    <xf numFmtId="0" fontId="9" fillId="0" borderId="6" xfId="0" applyNumberFormat="1" applyFont="1" applyFill="1" applyBorder="1" applyAlignment="1" applyProtection="1">
      <alignment horizontal="center" vertical="center"/>
    </xf>
    <xf numFmtId="176" fontId="21" fillId="0" borderId="6" xfId="0" applyNumberFormat="1" applyFont="1" applyFill="1" applyBorder="1" applyAlignment="1" applyProtection="1">
      <alignment horizontal="center" vertical="center"/>
    </xf>
    <xf numFmtId="0" fontId="10" fillId="0" borderId="0" xfId="0" applyFont="1" applyFill="1" applyProtection="1">
      <alignment vertical="center"/>
    </xf>
    <xf numFmtId="177" fontId="21" fillId="0" borderId="7" xfId="0" applyNumberFormat="1" applyFont="1" applyFill="1" applyBorder="1" applyAlignment="1" applyProtection="1">
      <alignment horizontal="center" vertical="center"/>
    </xf>
    <xf numFmtId="177" fontId="21" fillId="0" borderId="6" xfId="0" applyNumberFormat="1" applyFont="1" applyFill="1" applyBorder="1" applyAlignment="1" applyProtection="1">
      <alignment horizontal="center" vertical="center"/>
    </xf>
    <xf numFmtId="0" fontId="0" fillId="0" borderId="0" xfId="0" applyFont="1" applyAlignment="1" applyProtection="1">
      <alignment vertical="center"/>
    </xf>
    <xf numFmtId="0" fontId="15" fillId="0" borderId="7" xfId="0" applyFont="1" applyFill="1" applyBorder="1" applyAlignment="1" applyProtection="1">
      <alignment horizontal="center" vertical="center" shrinkToFit="1"/>
    </xf>
    <xf numFmtId="0" fontId="21" fillId="0" borderId="7"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0" fillId="0" borderId="0" xfId="0" applyFont="1" applyFill="1" applyBorder="1" applyProtection="1">
      <alignment vertical="center"/>
    </xf>
    <xf numFmtId="0" fontId="6" fillId="0" borderId="0" xfId="0" applyFont="1" applyFill="1" applyProtection="1">
      <alignment vertical="center"/>
    </xf>
    <xf numFmtId="0" fontId="12" fillId="0" borderId="0" xfId="0" applyFont="1" applyFill="1" applyBorder="1" applyProtection="1">
      <alignment vertical="center"/>
    </xf>
    <xf numFmtId="38" fontId="21" fillId="0" borderId="7" xfId="1" applyFont="1" applyFill="1" applyBorder="1" applyAlignment="1" applyProtection="1">
      <alignment horizontal="right" vertical="center"/>
    </xf>
    <xf numFmtId="38" fontId="21" fillId="0" borderId="31" xfId="1" applyFont="1" applyFill="1" applyBorder="1" applyAlignment="1" applyProtection="1">
      <alignment horizontal="right" vertical="center"/>
    </xf>
    <xf numFmtId="0" fontId="13" fillId="0" borderId="0" xfId="0" applyFont="1" applyFill="1" applyBorder="1" applyProtection="1">
      <alignment vertical="center"/>
    </xf>
    <xf numFmtId="38" fontId="0" fillId="0" borderId="0" xfId="0" applyNumberFormat="1" applyFill="1" applyProtection="1">
      <alignment vertical="center"/>
    </xf>
    <xf numFmtId="38" fontId="21" fillId="0" borderId="0" xfId="0" applyNumberFormat="1" applyFont="1" applyFill="1" applyBorder="1" applyAlignment="1" applyProtection="1">
      <alignment horizontal="right" vertical="center"/>
    </xf>
    <xf numFmtId="0" fontId="6" fillId="0" borderId="22" xfId="0" applyFont="1" applyFill="1" applyBorder="1" applyProtection="1">
      <alignment vertical="center"/>
    </xf>
    <xf numFmtId="38" fontId="21" fillId="0" borderId="0" xfId="0" applyNumberFormat="1" applyFont="1" applyFill="1" applyBorder="1" applyAlignment="1" applyProtection="1">
      <alignment vertical="center"/>
    </xf>
    <xf numFmtId="0" fontId="0" fillId="0" borderId="0" xfId="0" applyFill="1" applyBorder="1" applyProtection="1">
      <alignment vertical="center"/>
    </xf>
    <xf numFmtId="38" fontId="21" fillId="0" borderId="0" xfId="1" applyFont="1" applyFill="1" applyBorder="1" applyAlignment="1" applyProtection="1">
      <alignment horizontal="right" vertical="center"/>
    </xf>
    <xf numFmtId="0" fontId="0" fillId="0" borderId="23" xfId="0" applyFont="1" applyFill="1" applyBorder="1" applyProtection="1">
      <alignment vertical="center"/>
    </xf>
    <xf numFmtId="38" fontId="11" fillId="0" borderId="7" xfId="1" applyFont="1" applyFill="1" applyBorder="1" applyProtection="1">
      <alignment vertical="center"/>
    </xf>
    <xf numFmtId="0" fontId="0" fillId="0" borderId="19" xfId="0" applyFont="1" applyFill="1" applyBorder="1" applyProtection="1">
      <alignment vertical="center"/>
    </xf>
    <xf numFmtId="38" fontId="21" fillId="0" borderId="0" xfId="1" applyFont="1" applyFill="1" applyProtection="1">
      <alignment vertical="center"/>
    </xf>
    <xf numFmtId="38" fontId="11" fillId="0" borderId="0" xfId="1" applyFont="1" applyFill="1" applyBorder="1" applyProtection="1">
      <alignment vertical="center"/>
    </xf>
    <xf numFmtId="0" fontId="0" fillId="0" borderId="24" xfId="0" applyFont="1" applyFill="1" applyBorder="1" applyProtection="1">
      <alignment vertical="center"/>
    </xf>
    <xf numFmtId="0" fontId="21" fillId="0" borderId="0" xfId="0" applyFont="1" applyFill="1" applyBorder="1" applyAlignment="1" applyProtection="1">
      <alignment horizontal="right" vertical="center"/>
    </xf>
    <xf numFmtId="0" fontId="0" fillId="0" borderId="26" xfId="0" applyFont="1" applyFill="1" applyBorder="1" applyProtection="1">
      <alignment vertical="center"/>
    </xf>
    <xf numFmtId="38" fontId="11" fillId="0" borderId="11" xfId="1" applyFont="1" applyFill="1" applyBorder="1" applyProtection="1">
      <alignment vertical="center"/>
    </xf>
    <xf numFmtId="0" fontId="0" fillId="0" borderId="22" xfId="0" applyFont="1" applyFill="1" applyBorder="1" applyProtection="1">
      <alignment vertical="center"/>
    </xf>
    <xf numFmtId="0" fontId="30" fillId="0" borderId="0" xfId="0" applyFont="1" applyFill="1" applyBorder="1" applyAlignment="1" applyProtection="1">
      <alignment horizontal="center" vertical="center"/>
    </xf>
    <xf numFmtId="179" fontId="0" fillId="0" borderId="43" xfId="0" applyNumberFormat="1" applyFill="1" applyBorder="1" applyAlignment="1" applyProtection="1">
      <alignment horizontal="center" vertical="center"/>
    </xf>
    <xf numFmtId="38" fontId="21" fillId="4" borderId="0" xfId="0" applyNumberFormat="1" applyFont="1" applyFill="1" applyProtection="1">
      <alignment vertical="center"/>
    </xf>
    <xf numFmtId="38" fontId="21" fillId="4" borderId="0" xfId="0" applyNumberFormat="1" applyFont="1" applyFill="1" applyBorder="1" applyAlignment="1" applyProtection="1">
      <alignment vertical="center"/>
    </xf>
    <xf numFmtId="9" fontId="0" fillId="0" borderId="2" xfId="0" applyNumberFormat="1" applyFill="1" applyBorder="1" applyProtection="1">
      <alignment vertical="center"/>
    </xf>
    <xf numFmtId="38" fontId="0" fillId="0" borderId="0" xfId="1" applyFont="1" applyFill="1" applyBorder="1" applyAlignment="1" applyProtection="1">
      <alignment horizontal="right" vertical="center"/>
    </xf>
    <xf numFmtId="0" fontId="0" fillId="0" borderId="0" xfId="0" applyFill="1" applyBorder="1" applyAlignment="1" applyProtection="1">
      <alignment horizontal="right" vertical="center"/>
    </xf>
    <xf numFmtId="0" fontId="0" fillId="0" borderId="0" xfId="0" applyFill="1" applyAlignment="1" applyProtection="1">
      <alignment horizontal="right" vertical="center"/>
    </xf>
    <xf numFmtId="0" fontId="0" fillId="0" borderId="0" xfId="0" applyFill="1" applyBorder="1" applyAlignment="1" applyProtection="1">
      <alignment horizontal="center" vertical="center"/>
    </xf>
    <xf numFmtId="178" fontId="0" fillId="0" borderId="0" xfId="0" applyNumberFormat="1" applyFill="1" applyBorder="1" applyProtection="1">
      <alignment vertical="center"/>
    </xf>
    <xf numFmtId="177" fontId="0" fillId="0" borderId="0" xfId="0" applyNumberFormat="1" applyFill="1" applyBorder="1" applyProtection="1">
      <alignment vertical="center"/>
    </xf>
    <xf numFmtId="0" fontId="14" fillId="2" borderId="33" xfId="0" applyFont="1" applyFill="1" applyBorder="1" applyAlignment="1" applyProtection="1">
      <alignment horizontal="right" vertical="center"/>
      <protection locked="0"/>
    </xf>
    <xf numFmtId="176" fontId="21" fillId="2" borderId="5" xfId="0" applyNumberFormat="1" applyFont="1" applyFill="1" applyBorder="1" applyAlignment="1" applyProtection="1">
      <alignment horizontal="center" vertical="center"/>
      <protection locked="0"/>
    </xf>
    <xf numFmtId="38" fontId="21" fillId="2" borderId="14" xfId="1" applyFont="1" applyFill="1" applyBorder="1" applyAlignment="1" applyProtection="1">
      <alignment horizontal="right" vertical="center"/>
      <protection locked="0"/>
    </xf>
    <xf numFmtId="38" fontId="21" fillId="2" borderId="28" xfId="1" applyFont="1" applyFill="1" applyBorder="1" applyAlignment="1" applyProtection="1">
      <alignment horizontal="right" vertical="center"/>
      <protection locked="0"/>
    </xf>
    <xf numFmtId="38" fontId="21" fillId="3" borderId="7" xfId="1" applyFont="1" applyFill="1" applyBorder="1" applyAlignment="1" applyProtection="1">
      <alignment vertical="center"/>
      <protection locked="0"/>
    </xf>
    <xf numFmtId="38" fontId="21" fillId="3" borderId="31" xfId="1" applyFont="1" applyFill="1" applyBorder="1" applyAlignment="1" applyProtection="1">
      <alignment vertical="center"/>
      <protection locked="0"/>
    </xf>
    <xf numFmtId="0" fontId="0" fillId="0" borderId="58"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187" fontId="0" fillId="2" borderId="74" xfId="0" applyNumberFormat="1" applyFill="1" applyBorder="1" applyProtection="1">
      <alignment vertical="center"/>
      <protection locked="0"/>
    </xf>
    <xf numFmtId="0" fontId="0" fillId="0" borderId="0" xfId="0" applyAlignment="1">
      <alignment vertical="center"/>
    </xf>
    <xf numFmtId="0" fontId="44" fillId="0" borderId="0" xfId="0" applyFont="1">
      <alignment vertical="center"/>
    </xf>
    <xf numFmtId="0" fontId="45" fillId="0" borderId="0" xfId="0" applyFont="1" applyAlignment="1">
      <alignment vertical="center"/>
    </xf>
    <xf numFmtId="0" fontId="46" fillId="0" borderId="0" xfId="0" applyFont="1" applyAlignment="1">
      <alignment vertical="center"/>
    </xf>
    <xf numFmtId="0" fontId="0" fillId="0" borderId="0" xfId="0" applyAlignment="1" applyProtection="1">
      <alignment horizontal="center" vertical="center" shrinkToFit="1"/>
      <protection hidden="1"/>
    </xf>
    <xf numFmtId="0" fontId="0" fillId="0" borderId="37" xfId="0" applyFill="1" applyBorder="1" applyAlignment="1" applyProtection="1">
      <alignment vertical="center" shrinkToFit="1"/>
      <protection hidden="1"/>
    </xf>
    <xf numFmtId="184" fontId="0" fillId="0" borderId="37" xfId="0" applyNumberFormat="1" applyFill="1" applyBorder="1" applyAlignment="1" applyProtection="1">
      <alignment horizontal="left" vertical="center" shrinkToFit="1"/>
      <protection hidden="1"/>
    </xf>
    <xf numFmtId="185" fontId="0" fillId="0" borderId="37" xfId="0" applyNumberFormat="1" applyFill="1" applyBorder="1" applyAlignment="1" applyProtection="1">
      <alignment vertical="center" shrinkToFit="1"/>
      <protection hidden="1"/>
    </xf>
    <xf numFmtId="0" fontId="0" fillId="0" borderId="62" xfId="0" applyBorder="1" applyAlignment="1" applyProtection="1">
      <alignment horizontal="center" vertical="center"/>
    </xf>
    <xf numFmtId="0" fontId="0" fillId="0" borderId="63" xfId="0" applyBorder="1" applyAlignment="1" applyProtection="1">
      <alignment horizontal="center" vertical="center"/>
    </xf>
    <xf numFmtId="0" fontId="0" fillId="0" borderId="66" xfId="0" applyBorder="1" applyAlignment="1" applyProtection="1">
      <alignment horizontal="center" vertical="center"/>
    </xf>
    <xf numFmtId="0" fontId="0" fillId="0" borderId="70" xfId="0" applyBorder="1" applyAlignment="1" applyProtection="1">
      <alignment horizontal="center" vertical="center"/>
    </xf>
    <xf numFmtId="0" fontId="0" fillId="0" borderId="69" xfId="0" applyBorder="1" applyAlignment="1" applyProtection="1">
      <alignment horizontal="center" vertical="center"/>
    </xf>
    <xf numFmtId="0" fontId="11" fillId="0" borderId="22" xfId="0" applyFont="1" applyFill="1" applyBorder="1" applyAlignment="1">
      <alignment vertical="center"/>
    </xf>
    <xf numFmtId="38" fontId="11" fillId="0" borderId="7" xfId="1" applyFont="1" applyFill="1" applyBorder="1" applyAlignment="1">
      <alignment horizontal="right" vertical="center"/>
    </xf>
    <xf numFmtId="38" fontId="11" fillId="0" borderId="11" xfId="1" applyFont="1" applyFill="1" applyBorder="1" applyAlignment="1">
      <alignment horizontal="right" vertical="center"/>
    </xf>
    <xf numFmtId="0" fontId="23" fillId="0" borderId="0" xfId="0" applyFont="1" applyAlignment="1">
      <alignment vertical="center"/>
    </xf>
    <xf numFmtId="0" fontId="25" fillId="0" borderId="0" xfId="0" applyFont="1" applyAlignment="1">
      <alignment vertical="center"/>
    </xf>
    <xf numFmtId="0" fontId="24" fillId="0" borderId="34" xfId="0" applyFont="1" applyBorder="1" applyAlignment="1">
      <alignment horizontal="right" vertical="center" indent="1"/>
    </xf>
    <xf numFmtId="0" fontId="24" fillId="0" borderId="85" xfId="0" applyFont="1" applyBorder="1" applyAlignment="1">
      <alignment horizontal="right" vertical="center" indent="1"/>
    </xf>
    <xf numFmtId="0" fontId="24" fillId="0" borderId="82" xfId="0" applyFont="1" applyBorder="1" applyAlignment="1">
      <alignment horizontal="right" vertical="center" indent="1"/>
    </xf>
    <xf numFmtId="0" fontId="52" fillId="0" borderId="0" xfId="0" applyFont="1" applyFill="1" applyProtection="1">
      <alignment vertical="center"/>
    </xf>
    <xf numFmtId="38" fontId="0" fillId="0" borderId="3" xfId="0" applyNumberFormat="1" applyBorder="1" applyAlignment="1">
      <alignment vertical="center" shrinkToFit="1"/>
    </xf>
    <xf numFmtId="38" fontId="0" fillId="0" borderId="5" xfId="0" applyNumberFormat="1" applyBorder="1" applyAlignment="1">
      <alignment vertical="center" shrinkToFit="1"/>
    </xf>
    <xf numFmtId="38" fontId="0" fillId="0" borderId="13" xfId="0" applyNumberFormat="1" applyBorder="1" applyAlignment="1">
      <alignment vertical="center" shrinkToFit="1"/>
    </xf>
    <xf numFmtId="38" fontId="0" fillId="0" borderId="10" xfId="0" applyNumberFormat="1" applyBorder="1" applyAlignment="1">
      <alignment vertical="center" shrinkToFit="1"/>
    </xf>
    <xf numFmtId="38" fontId="0" fillId="0" borderId="6" xfId="0" applyNumberFormat="1" applyBorder="1" applyAlignment="1">
      <alignment vertical="center" shrinkToFit="1"/>
    </xf>
    <xf numFmtId="191" fontId="47" fillId="0" borderId="0" xfId="0" applyNumberFormat="1" applyFont="1" applyFill="1" applyAlignment="1" applyProtection="1">
      <alignment vertical="center"/>
    </xf>
    <xf numFmtId="191" fontId="2" fillId="0" borderId="0" xfId="0" applyNumberFormat="1" applyFont="1" applyAlignment="1" applyProtection="1">
      <alignment vertical="center"/>
    </xf>
    <xf numFmtId="191" fontId="11" fillId="0" borderId="0" xfId="0" applyNumberFormat="1" applyFont="1" applyFill="1" applyAlignment="1" applyProtection="1">
      <alignment vertical="center"/>
    </xf>
    <xf numFmtId="191" fontId="0" fillId="0" borderId="0" xfId="0" applyNumberFormat="1" applyAlignment="1" applyProtection="1">
      <alignment vertical="center"/>
    </xf>
    <xf numFmtId="191" fontId="48" fillId="0" borderId="0" xfId="0" applyNumberFormat="1" applyFont="1" applyFill="1" applyAlignment="1" applyProtection="1">
      <alignment vertical="center"/>
    </xf>
    <xf numFmtId="191" fontId="49" fillId="0" borderId="0" xfId="0" applyNumberFormat="1" applyFont="1" applyAlignment="1" applyProtection="1">
      <alignment vertical="center"/>
    </xf>
    <xf numFmtId="0" fontId="21" fillId="0" borderId="0" xfId="0" applyFont="1" applyFill="1" applyAlignment="1" applyProtection="1">
      <alignment horizontal="center" vertical="center" shrinkToFit="1"/>
    </xf>
    <xf numFmtId="0" fontId="21" fillId="0" borderId="0" xfId="0" applyFont="1" applyFill="1" applyBorder="1" applyAlignment="1" applyProtection="1">
      <alignment horizontal="center" vertical="center" shrinkToFit="1"/>
    </xf>
    <xf numFmtId="0" fontId="0" fillId="0" borderId="0" xfId="0" applyFill="1" applyBorder="1" applyAlignment="1" applyProtection="1">
      <alignment vertical="center"/>
    </xf>
    <xf numFmtId="38" fontId="20" fillId="3" borderId="11" xfId="1" applyFont="1" applyFill="1" applyBorder="1" applyAlignment="1" applyProtection="1">
      <alignment horizontal="center" vertical="center"/>
      <protection locked="0"/>
    </xf>
    <xf numFmtId="38" fontId="20" fillId="3" borderId="10" xfId="1" applyFont="1" applyFill="1" applyBorder="1" applyAlignment="1" applyProtection="1">
      <alignment horizontal="center" vertical="center"/>
      <protection locked="0"/>
    </xf>
    <xf numFmtId="38" fontId="21" fillId="0" borderId="96" xfId="1" applyFont="1" applyFill="1" applyBorder="1" applyAlignment="1" applyProtection="1">
      <alignment vertical="center"/>
      <protection locked="0"/>
    </xf>
    <xf numFmtId="38" fontId="21" fillId="0" borderId="97" xfId="1" applyFont="1" applyFill="1" applyBorder="1" applyAlignment="1" applyProtection="1">
      <alignment vertical="center"/>
      <protection locked="0"/>
    </xf>
    <xf numFmtId="38" fontId="21" fillId="3" borderId="36" xfId="1" applyFont="1" applyFill="1" applyBorder="1" applyAlignment="1" applyProtection="1">
      <alignment horizontal="right" vertical="center"/>
      <protection locked="0"/>
    </xf>
    <xf numFmtId="38" fontId="21" fillId="3" borderId="98" xfId="1" applyFont="1" applyFill="1" applyBorder="1" applyAlignment="1" applyProtection="1">
      <alignment horizontal="right" vertical="center"/>
      <protection locked="0"/>
    </xf>
    <xf numFmtId="38" fontId="20" fillId="2" borderId="14" xfId="1" applyFont="1" applyFill="1" applyBorder="1" applyAlignment="1" applyProtection="1">
      <alignment horizontal="right" vertical="center"/>
      <protection locked="0"/>
    </xf>
    <xf numFmtId="38" fontId="20" fillId="2" borderId="28" xfId="1" applyFont="1" applyFill="1" applyBorder="1" applyAlignment="1" applyProtection="1">
      <alignment horizontal="right" vertical="center"/>
      <protection locked="0"/>
    </xf>
    <xf numFmtId="38" fontId="21" fillId="3" borderId="11" xfId="1" applyFont="1" applyFill="1" applyBorder="1" applyAlignment="1" applyProtection="1">
      <alignment horizontal="right" vertical="center"/>
      <protection locked="0"/>
    </xf>
    <xf numFmtId="38" fontId="21" fillId="3" borderId="25" xfId="1" applyFont="1" applyFill="1" applyBorder="1" applyAlignment="1" applyProtection="1">
      <alignment horizontal="right" vertical="center"/>
      <protection locked="0"/>
    </xf>
    <xf numFmtId="38" fontId="20" fillId="2" borderId="96" xfId="1" applyFont="1" applyFill="1" applyBorder="1" applyAlignment="1" applyProtection="1">
      <alignment vertical="center"/>
      <protection locked="0"/>
    </xf>
    <xf numFmtId="38" fontId="20" fillId="2" borderId="96" xfId="1" applyFont="1" applyFill="1" applyBorder="1" applyAlignment="1" applyProtection="1">
      <alignment horizontal="right" vertical="center"/>
      <protection locked="0"/>
    </xf>
    <xf numFmtId="38" fontId="20" fillId="2" borderId="97" xfId="1" applyFont="1" applyFill="1" applyBorder="1" applyAlignment="1" applyProtection="1">
      <alignment horizontal="right" vertical="center"/>
      <protection locked="0"/>
    </xf>
    <xf numFmtId="38" fontId="21" fillId="0" borderId="101" xfId="0" applyNumberFormat="1" applyFont="1" applyFill="1" applyBorder="1" applyAlignment="1" applyProtection="1">
      <alignment horizontal="right" vertical="center"/>
    </xf>
    <xf numFmtId="38" fontId="21" fillId="0" borderId="2" xfId="0" applyNumberFormat="1" applyFont="1" applyFill="1" applyBorder="1" applyAlignment="1" applyProtection="1">
      <alignment horizontal="right" vertical="center"/>
    </xf>
    <xf numFmtId="0" fontId="0" fillId="0" borderId="0" xfId="0" applyFill="1" applyAlignment="1" applyProtection="1">
      <alignment horizontal="center" vertical="center"/>
    </xf>
    <xf numFmtId="191" fontId="40" fillId="0" borderId="0" xfId="0" applyNumberFormat="1" applyFont="1" applyFill="1" applyAlignment="1">
      <alignment vertical="center"/>
    </xf>
    <xf numFmtId="191" fontId="36" fillId="0" borderId="0" xfId="0" applyNumberFormat="1" applyFont="1" applyAlignment="1">
      <alignment vertical="center"/>
    </xf>
    <xf numFmtId="0" fontId="36" fillId="4" borderId="0" xfId="0" applyFont="1" applyFill="1" applyAlignment="1">
      <alignment horizontal="center" vertical="center" shrinkToFit="1"/>
    </xf>
    <xf numFmtId="0" fontId="36" fillId="0" borderId="1" xfId="0" applyFont="1" applyFill="1" applyBorder="1" applyAlignment="1">
      <alignment horizontal="left" vertical="center" shrinkToFit="1"/>
    </xf>
    <xf numFmtId="0" fontId="36" fillId="0" borderId="38" xfId="0" applyFont="1" applyFill="1" applyBorder="1" applyAlignment="1">
      <alignment horizontal="left" vertical="center" shrinkToFit="1"/>
    </xf>
    <xf numFmtId="0" fontId="36" fillId="0" borderId="0" xfId="0" applyFont="1" applyFill="1" applyAlignment="1">
      <alignment horizontal="center" vertical="center" shrinkToFit="1"/>
    </xf>
    <xf numFmtId="0" fontId="36" fillId="0" borderId="41" xfId="0" applyFont="1" applyFill="1" applyBorder="1" applyAlignment="1">
      <alignment vertical="center"/>
    </xf>
    <xf numFmtId="0" fontId="36" fillId="0" borderId="42" xfId="0" applyFont="1" applyFill="1" applyBorder="1" applyAlignment="1">
      <alignment vertical="center"/>
    </xf>
    <xf numFmtId="0" fontId="32" fillId="0" borderId="17" xfId="0" applyFont="1" applyFill="1" applyBorder="1" applyAlignment="1">
      <alignment horizontal="center" vertical="center"/>
    </xf>
    <xf numFmtId="0" fontId="32" fillId="0" borderId="18" xfId="0" applyFont="1" applyFill="1" applyBorder="1" applyAlignment="1">
      <alignment horizontal="center" vertical="center"/>
    </xf>
    <xf numFmtId="0" fontId="32" fillId="0" borderId="16" xfId="0" applyFont="1" applyFill="1" applyBorder="1" applyAlignment="1">
      <alignment horizontal="center" vertical="center"/>
    </xf>
    <xf numFmtId="38" fontId="32" fillId="0" borderId="20" xfId="1" applyFont="1" applyFill="1" applyBorder="1" applyAlignment="1">
      <alignment horizontal="right" vertical="center"/>
    </xf>
    <xf numFmtId="0" fontId="36" fillId="0" borderId="21" xfId="0" applyFont="1" applyFill="1" applyBorder="1" applyAlignment="1">
      <alignment vertical="center"/>
    </xf>
    <xf numFmtId="0" fontId="36" fillId="0" borderId="17" xfId="0" applyFont="1" applyFill="1" applyBorder="1" applyAlignment="1">
      <alignment horizontal="center" vertical="center" shrinkToFit="1"/>
    </xf>
    <xf numFmtId="0" fontId="36" fillId="0" borderId="18" xfId="0" applyFont="1" applyFill="1" applyBorder="1" applyAlignment="1">
      <alignment horizontal="center" vertical="center" shrinkToFit="1"/>
    </xf>
    <xf numFmtId="0" fontId="36" fillId="0" borderId="16" xfId="0" applyFont="1" applyFill="1" applyBorder="1" applyAlignment="1">
      <alignment horizontal="center" vertical="center" shrinkToFit="1"/>
    </xf>
    <xf numFmtId="0" fontId="7" fillId="0" borderId="36" xfId="0" applyFont="1" applyFill="1" applyBorder="1" applyAlignment="1" applyProtection="1">
      <alignment vertical="center"/>
    </xf>
    <xf numFmtId="0" fontId="0" fillId="0" borderId="37" xfId="0" applyBorder="1" applyAlignment="1">
      <alignment vertical="center"/>
    </xf>
    <xf numFmtId="0" fontId="0" fillId="0" borderId="93" xfId="0" applyFill="1" applyBorder="1" applyAlignment="1" applyProtection="1">
      <alignment horizontal="center" vertical="center"/>
    </xf>
    <xf numFmtId="0" fontId="0" fillId="0" borderId="94" xfId="0" applyFill="1" applyBorder="1" applyAlignment="1" applyProtection="1">
      <alignment horizontal="center" vertical="center"/>
    </xf>
    <xf numFmtId="0" fontId="0" fillId="0" borderId="95" xfId="0" applyFill="1" applyBorder="1" applyAlignment="1" applyProtection="1">
      <alignment horizontal="center" vertical="center"/>
    </xf>
    <xf numFmtId="0" fontId="0" fillId="2" borderId="90" xfId="0" applyFill="1" applyBorder="1" applyAlignment="1" applyProtection="1">
      <alignment horizontal="center" vertical="center" shrinkToFit="1"/>
    </xf>
    <xf numFmtId="0" fontId="0" fillId="2" borderId="91" xfId="0" applyFill="1" applyBorder="1" applyAlignment="1" applyProtection="1">
      <alignment horizontal="center" vertical="center" shrinkToFit="1"/>
    </xf>
    <xf numFmtId="0" fontId="0" fillId="2" borderId="92" xfId="0" applyFill="1" applyBorder="1" applyAlignment="1" applyProtection="1">
      <alignment horizontal="center" vertical="center" shrinkToFit="1"/>
    </xf>
    <xf numFmtId="0" fontId="0" fillId="3" borderId="90" xfId="0" applyFill="1" applyBorder="1" applyAlignment="1" applyProtection="1">
      <alignment horizontal="center" vertical="center" shrinkToFit="1"/>
    </xf>
    <xf numFmtId="0" fontId="0" fillId="3" borderId="91" xfId="0" applyFill="1" applyBorder="1" applyAlignment="1" applyProtection="1">
      <alignment horizontal="center" vertical="center" shrinkToFit="1"/>
    </xf>
    <xf numFmtId="0" fontId="0" fillId="3" borderId="92" xfId="0" applyFill="1" applyBorder="1" applyAlignment="1" applyProtection="1">
      <alignment horizontal="center" vertical="center" shrinkToFit="1"/>
    </xf>
    <xf numFmtId="0" fontId="21" fillId="0" borderId="7"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7" xfId="0" applyFont="1" applyFill="1" applyBorder="1" applyAlignment="1" applyProtection="1">
      <alignment horizontal="center" vertical="center"/>
    </xf>
    <xf numFmtId="0" fontId="21" fillId="0" borderId="15"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38" fontId="6" fillId="0" borderId="20" xfId="1" applyFont="1" applyFill="1" applyBorder="1" applyAlignment="1" applyProtection="1">
      <alignment horizontal="right" vertical="center"/>
    </xf>
    <xf numFmtId="0" fontId="0" fillId="0" borderId="21" xfId="0" applyFill="1" applyBorder="1" applyAlignment="1" applyProtection="1">
      <alignment vertical="center"/>
    </xf>
    <xf numFmtId="0" fontId="8" fillId="0" borderId="77" xfId="0" applyFont="1" applyFill="1" applyBorder="1" applyAlignment="1" applyProtection="1">
      <alignment vertical="center"/>
    </xf>
    <xf numFmtId="0" fontId="0" fillId="0" borderId="0" xfId="0" applyAlignment="1">
      <alignment vertical="center"/>
    </xf>
    <xf numFmtId="0" fontId="10" fillId="0" borderId="77" xfId="0" applyFont="1" applyFill="1" applyBorder="1" applyAlignment="1" applyProtection="1">
      <alignment vertical="center"/>
    </xf>
    <xf numFmtId="0" fontId="10" fillId="0" borderId="78" xfId="0" applyFont="1" applyFill="1" applyBorder="1" applyAlignment="1" applyProtection="1">
      <alignment vertical="center"/>
    </xf>
    <xf numFmtId="0" fontId="28" fillId="6" borderId="44" xfId="0" applyFont="1" applyFill="1" applyBorder="1" applyAlignment="1" applyProtection="1">
      <alignment horizontal="center" vertical="center" shrinkToFit="1"/>
    </xf>
    <xf numFmtId="0" fontId="28" fillId="6" borderId="45" xfId="0" applyFont="1" applyFill="1" applyBorder="1" applyAlignment="1" applyProtection="1">
      <alignment horizontal="center" vertical="center" shrinkToFit="1"/>
    </xf>
    <xf numFmtId="0" fontId="28" fillId="6" borderId="46" xfId="0" applyFont="1" applyFill="1" applyBorder="1" applyAlignment="1" applyProtection="1">
      <alignment horizontal="center" vertical="center" shrinkToFit="1"/>
    </xf>
    <xf numFmtId="0" fontId="55" fillId="0" borderId="0" xfId="0" applyFont="1" applyFill="1" applyAlignment="1" applyProtection="1">
      <alignment vertical="center"/>
    </xf>
    <xf numFmtId="0" fontId="21" fillId="0" borderId="0" xfId="0" applyFont="1" applyFill="1" applyAlignment="1" applyProtection="1">
      <alignment horizontal="center" vertical="center" shrinkToFit="1"/>
    </xf>
    <xf numFmtId="0" fontId="18" fillId="0" borderId="36" xfId="0" applyFont="1" applyFill="1" applyBorder="1" applyAlignment="1" applyProtection="1">
      <alignment horizontal="right" vertical="center"/>
    </xf>
    <xf numFmtId="0" fontId="18" fillId="0" borderId="37" xfId="0" applyFont="1" applyFill="1" applyBorder="1" applyAlignment="1" applyProtection="1">
      <alignment horizontal="right" vertical="center"/>
    </xf>
    <xf numFmtId="0" fontId="18" fillId="0" borderId="9" xfId="0" applyFont="1" applyFill="1" applyBorder="1" applyAlignment="1" applyProtection="1">
      <alignment horizontal="right" vertical="center"/>
    </xf>
    <xf numFmtId="0" fontId="0" fillId="0" borderId="0" xfId="0" applyFill="1" applyAlignment="1" applyProtection="1">
      <alignment horizontal="center" vertical="center" shrinkToFit="1"/>
    </xf>
    <xf numFmtId="0" fontId="21" fillId="4" borderId="0" xfId="0" applyFont="1" applyFill="1" applyAlignment="1" applyProtection="1">
      <alignment horizontal="center" vertical="center" shrinkToFit="1"/>
    </xf>
    <xf numFmtId="0" fontId="0" fillId="0" borderId="7" xfId="0" applyFill="1" applyBorder="1" applyAlignment="1" applyProtection="1">
      <alignment horizontal="center" vertical="center"/>
    </xf>
    <xf numFmtId="0" fontId="0" fillId="0" borderId="8" xfId="0" applyFill="1" applyBorder="1" applyAlignment="1" applyProtection="1">
      <alignment horizontal="center" vertical="center"/>
    </xf>
    <xf numFmtId="0" fontId="21" fillId="0" borderId="7" xfId="0" applyFont="1" applyFill="1" applyBorder="1" applyAlignment="1" applyProtection="1">
      <alignment horizontal="center" vertical="center" shrinkToFit="1"/>
    </xf>
    <xf numFmtId="0" fontId="21" fillId="0" borderId="8" xfId="0" applyFont="1" applyFill="1" applyBorder="1" applyAlignment="1" applyProtection="1">
      <alignment horizontal="center" vertical="center" shrinkToFit="1"/>
    </xf>
    <xf numFmtId="0" fontId="19" fillId="0" borderId="39" xfId="0" applyFont="1" applyFill="1" applyBorder="1" applyAlignment="1" applyProtection="1">
      <alignment horizontal="center" vertical="center"/>
    </xf>
    <xf numFmtId="0" fontId="19" fillId="0" borderId="34" xfId="0" applyFont="1" applyFill="1" applyBorder="1" applyAlignment="1" applyProtection="1">
      <alignment horizontal="center" vertical="center"/>
    </xf>
    <xf numFmtId="0" fontId="19" fillId="0" borderId="40"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40" xfId="0" applyFont="1" applyFill="1" applyBorder="1" applyAlignment="1" applyProtection="1">
      <alignment horizontal="center" vertical="center"/>
    </xf>
    <xf numFmtId="0" fontId="21" fillId="0" borderId="9" xfId="0" applyFont="1" applyFill="1" applyBorder="1" applyAlignment="1" applyProtection="1">
      <alignment horizontal="center" vertical="center"/>
    </xf>
    <xf numFmtId="0" fontId="21" fillId="0" borderId="99" xfId="0" applyFont="1" applyFill="1" applyBorder="1" applyAlignment="1" applyProtection="1">
      <alignment horizontal="center" vertical="center"/>
    </xf>
    <xf numFmtId="0" fontId="21" fillId="0" borderId="82" xfId="0" applyFont="1" applyFill="1" applyBorder="1" applyAlignment="1" applyProtection="1">
      <alignment horizontal="center" vertical="center"/>
    </xf>
    <xf numFmtId="0" fontId="0" fillId="0" borderId="1" xfId="0" applyFill="1" applyBorder="1" applyAlignment="1" applyProtection="1">
      <alignment horizontal="left" vertical="center" shrinkToFit="1"/>
    </xf>
    <xf numFmtId="0" fontId="0" fillId="0" borderId="38" xfId="0" applyFill="1" applyBorder="1" applyAlignment="1" applyProtection="1">
      <alignment horizontal="left" vertical="center" shrinkToFit="1"/>
    </xf>
    <xf numFmtId="0" fontId="21" fillId="0" borderId="27" xfId="0" applyFont="1" applyFill="1" applyBorder="1" applyAlignment="1" applyProtection="1">
      <alignment horizontal="center" vertical="center" shrinkToFit="1"/>
    </xf>
    <xf numFmtId="0" fontId="21" fillId="0" borderId="27" xfId="0" applyFont="1" applyBorder="1" applyAlignment="1" applyProtection="1">
      <alignment horizontal="center" vertical="center" shrinkToFit="1"/>
    </xf>
    <xf numFmtId="0" fontId="21" fillId="0" borderId="32" xfId="0" applyFont="1" applyFill="1" applyBorder="1" applyAlignment="1" applyProtection="1">
      <alignment horizontal="center" vertical="center" shrinkToFit="1"/>
    </xf>
    <xf numFmtId="0" fontId="21" fillId="0" borderId="100" xfId="0" applyFont="1" applyFill="1" applyBorder="1" applyAlignment="1" applyProtection="1">
      <alignment horizontal="center" vertical="center" shrinkToFit="1"/>
    </xf>
    <xf numFmtId="0" fontId="0" fillId="0" borderId="17" xfId="0" applyFont="1" applyFill="1" applyBorder="1" applyAlignment="1" applyProtection="1">
      <alignment horizontal="center" vertical="center" shrinkToFit="1"/>
    </xf>
    <xf numFmtId="0" fontId="0" fillId="0" borderId="18" xfId="0" applyFont="1" applyFill="1" applyBorder="1" applyAlignment="1" applyProtection="1">
      <alignment horizontal="center" vertical="center" shrinkToFit="1"/>
    </xf>
    <xf numFmtId="0" fontId="0" fillId="0" borderId="16" xfId="0" applyFont="1" applyFill="1" applyBorder="1" applyAlignment="1" applyProtection="1">
      <alignment horizontal="center" vertical="center" shrinkToFit="1"/>
    </xf>
    <xf numFmtId="0" fontId="0" fillId="0" borderId="41" xfId="0" applyFont="1" applyFill="1" applyBorder="1" applyAlignment="1" applyProtection="1">
      <alignment vertical="center"/>
    </xf>
    <xf numFmtId="0" fontId="0" fillId="0" borderId="42" xfId="0" applyFont="1" applyFill="1" applyBorder="1" applyAlignment="1" applyProtection="1">
      <alignment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38" fontId="0" fillId="0" borderId="63" xfId="1" applyFont="1" applyBorder="1" applyAlignment="1">
      <alignment vertical="center"/>
    </xf>
    <xf numFmtId="0" fontId="0" fillId="0" borderId="64" xfId="0" applyBorder="1" applyAlignment="1">
      <alignment vertical="center"/>
    </xf>
    <xf numFmtId="38" fontId="0" fillId="0" borderId="86" xfId="1" applyFont="1" applyBorder="1" applyAlignment="1">
      <alignment vertical="center"/>
    </xf>
    <xf numFmtId="0" fontId="0" fillId="0" borderId="67" xfId="0" applyBorder="1" applyAlignment="1">
      <alignment vertical="center"/>
    </xf>
    <xf numFmtId="0" fontId="21" fillId="0" borderId="14" xfId="0" applyNumberFormat="1" applyFont="1" applyBorder="1" applyAlignment="1">
      <alignment horizontal="center" vertical="center" shrinkToFit="1"/>
    </xf>
    <xf numFmtId="0" fontId="0" fillId="0" borderId="15" xfId="0" applyBorder="1" applyAlignment="1">
      <alignment horizontal="center" vertical="center" shrinkToFit="1"/>
    </xf>
    <xf numFmtId="38" fontId="0" fillId="0" borderId="59" xfId="1" applyFont="1" applyBorder="1" applyAlignment="1">
      <alignment vertical="center"/>
    </xf>
    <xf numFmtId="0" fontId="0" fillId="0" borderId="60" xfId="0" applyBorder="1" applyAlignment="1">
      <alignment vertical="center"/>
    </xf>
    <xf numFmtId="0" fontId="50" fillId="0" borderId="87" xfId="0" applyFont="1" applyBorder="1" applyAlignment="1">
      <alignment horizontal="center" vertical="center" textRotation="255" wrapText="1"/>
    </xf>
    <xf numFmtId="0" fontId="51" fillId="0" borderId="88" xfId="0" applyFont="1" applyBorder="1" applyAlignment="1">
      <alignment horizontal="center" vertical="center" textRotation="255" wrapText="1"/>
    </xf>
    <xf numFmtId="0" fontId="51" fillId="0" borderId="89" xfId="0" applyFont="1" applyBorder="1" applyAlignment="1">
      <alignment horizontal="center" vertical="center" textRotation="255" wrapText="1"/>
    </xf>
    <xf numFmtId="38" fontId="22" fillId="0" borderId="80" xfId="0" applyNumberFormat="1" applyFont="1" applyBorder="1" applyAlignment="1">
      <alignment vertical="center"/>
    </xf>
    <xf numFmtId="0" fontId="0" fillId="0" borderId="55" xfId="0" applyBorder="1" applyAlignment="1">
      <alignment vertical="center"/>
    </xf>
    <xf numFmtId="0" fontId="22" fillId="0" borderId="81" xfId="0" applyFont="1" applyBorder="1" applyAlignment="1">
      <alignment vertical="center"/>
    </xf>
    <xf numFmtId="0" fontId="0" fillId="0" borderId="82" xfId="0" applyBorder="1" applyAlignment="1">
      <alignment vertical="center"/>
    </xf>
    <xf numFmtId="0" fontId="22" fillId="0" borderId="83" xfId="0" applyFont="1" applyBorder="1" applyAlignment="1">
      <alignment vertical="center"/>
    </xf>
    <xf numFmtId="0" fontId="0" fillId="0" borderId="84" xfId="0" applyBorder="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26" fillId="0" borderId="71" xfId="0" applyFont="1" applyBorder="1" applyAlignment="1">
      <alignment horizontal="center" vertical="center"/>
    </xf>
    <xf numFmtId="0" fontId="0" fillId="0" borderId="79" xfId="0" applyBorder="1" applyAlignment="1">
      <alignment horizontal="center" vertical="center"/>
    </xf>
    <xf numFmtId="0" fontId="0" fillId="0" borderId="47"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6" xfId="0"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0" fillId="0" borderId="31"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38" fontId="16" fillId="0" borderId="18" xfId="0" applyNumberFormat="1" applyFont="1" applyBorder="1" applyAlignment="1">
      <alignment vertical="center"/>
    </xf>
    <xf numFmtId="0" fontId="16" fillId="0" borderId="18" xfId="0" applyFont="1" applyBorder="1" applyAlignment="1">
      <alignment vertical="center"/>
    </xf>
    <xf numFmtId="0" fontId="16" fillId="0" borderId="16" xfId="0" applyFont="1" applyBorder="1" applyAlignment="1">
      <alignment vertical="center"/>
    </xf>
    <xf numFmtId="182" fontId="0" fillId="0" borderId="17" xfId="0" applyNumberFormat="1" applyBorder="1" applyAlignment="1">
      <alignment horizontal="center" vertical="center" shrinkToFit="1"/>
    </xf>
    <xf numFmtId="182" fontId="0" fillId="0" borderId="18" xfId="0" applyNumberFormat="1" applyBorder="1" applyAlignment="1">
      <alignment horizontal="center" vertical="center" shrinkToFit="1"/>
    </xf>
    <xf numFmtId="182" fontId="0" fillId="0" borderId="15" xfId="0" applyNumberFormat="1" applyBorder="1" applyAlignment="1">
      <alignment horizontal="center" vertical="center" shrinkToFit="1"/>
    </xf>
    <xf numFmtId="0" fontId="0" fillId="0" borderId="54" xfId="0" applyBorder="1" applyAlignment="1">
      <alignment horizontal="center" vertical="center" wrapText="1"/>
    </xf>
    <xf numFmtId="0" fontId="16" fillId="0" borderId="14" xfId="0" applyFont="1" applyBorder="1" applyAlignment="1">
      <alignment horizontal="right" vertical="center"/>
    </xf>
    <xf numFmtId="0" fontId="16" fillId="0" borderId="18" xfId="0" applyFont="1" applyBorder="1" applyAlignment="1">
      <alignment horizontal="right" vertical="center"/>
    </xf>
    <xf numFmtId="38" fontId="0" fillId="0" borderId="6" xfId="0" applyNumberFormat="1" applyBorder="1" applyAlignment="1">
      <alignment vertical="center" shrinkToFit="1"/>
    </xf>
    <xf numFmtId="0" fontId="0" fillId="0" borderId="6" xfId="0" applyBorder="1" applyAlignment="1">
      <alignment vertical="center" shrinkToFit="1"/>
    </xf>
    <xf numFmtId="0" fontId="57" fillId="0" borderId="35" xfId="0" applyFont="1" applyBorder="1" applyAlignment="1">
      <alignment vertical="top" wrapText="1"/>
    </xf>
    <xf numFmtId="0" fontId="57" fillId="0" borderId="73" xfId="0" applyFont="1" applyBorder="1" applyAlignment="1">
      <alignment vertical="top" wrapText="1"/>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shrinkToFit="1"/>
    </xf>
    <xf numFmtId="38" fontId="0" fillId="0" borderId="3" xfId="0" applyNumberFormat="1" applyBorder="1" applyAlignment="1">
      <alignment vertical="center" shrinkToFit="1"/>
    </xf>
    <xf numFmtId="0" fontId="0" fillId="0" borderId="3" xfId="0" applyBorder="1" applyAlignment="1">
      <alignment vertical="center" shrinkToFi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38" fontId="0" fillId="0" borderId="13" xfId="0" applyNumberFormat="1" applyBorder="1" applyAlignment="1">
      <alignment vertical="center" shrinkToFit="1"/>
    </xf>
    <xf numFmtId="0" fontId="0" fillId="0" borderId="13" xfId="0" applyBorder="1" applyAlignment="1">
      <alignment vertical="center" shrinkToFit="1"/>
    </xf>
    <xf numFmtId="38" fontId="22" fillId="0" borderId="3" xfId="0" applyNumberFormat="1" applyFont="1" applyBorder="1" applyAlignment="1">
      <alignment vertical="center"/>
    </xf>
    <xf numFmtId="0" fontId="22" fillId="0" borderId="5" xfId="0" applyFont="1" applyBorder="1" applyAlignment="1">
      <alignment vertical="center"/>
    </xf>
    <xf numFmtId="0" fontId="0" fillId="0" borderId="3" xfId="0" applyBorder="1" applyAlignment="1">
      <alignment vertical="center" wrapText="1"/>
    </xf>
    <xf numFmtId="0" fontId="0" fillId="0" borderId="5" xfId="0" applyBorder="1" applyAlignment="1">
      <alignment vertical="center" wrapText="1"/>
    </xf>
    <xf numFmtId="38" fontId="22" fillId="0" borderId="13" xfId="0" applyNumberFormat="1" applyFont="1" applyBorder="1" applyAlignment="1">
      <alignment vertical="center"/>
    </xf>
    <xf numFmtId="0" fontId="22" fillId="0" borderId="10" xfId="0" applyFont="1" applyBorder="1" applyAlignment="1">
      <alignment vertical="center"/>
    </xf>
    <xf numFmtId="0" fontId="0" fillId="0" borderId="13" xfId="0" applyBorder="1" applyAlignment="1">
      <alignment vertical="center" wrapText="1"/>
    </xf>
    <xf numFmtId="0" fontId="0" fillId="0" borderId="10" xfId="0" applyBorder="1" applyAlignment="1">
      <alignment vertical="center" wrapText="1"/>
    </xf>
    <xf numFmtId="0" fontId="0" fillId="0" borderId="6" xfId="0" applyBorder="1" applyAlignment="1">
      <alignment vertical="center" wrapText="1"/>
    </xf>
    <xf numFmtId="0" fontId="23" fillId="0" borderId="0" xfId="0" applyFont="1" applyAlignment="1">
      <alignment vertical="center"/>
    </xf>
    <xf numFmtId="0" fontId="25" fillId="0" borderId="0" xfId="0" applyFont="1" applyAlignment="1">
      <alignment vertical="center"/>
    </xf>
    <xf numFmtId="38" fontId="0" fillId="0" borderId="10" xfId="0" applyNumberFormat="1" applyBorder="1" applyAlignment="1">
      <alignment vertical="center" shrinkToFit="1"/>
    </xf>
    <xf numFmtId="0" fontId="0" fillId="0" borderId="10" xfId="0" applyBorder="1" applyAlignment="1">
      <alignment vertical="center" shrinkToFit="1"/>
    </xf>
    <xf numFmtId="38" fontId="0" fillId="0" borderId="5" xfId="0" applyNumberFormat="1" applyBorder="1" applyAlignment="1">
      <alignment vertical="center" shrinkToFit="1"/>
    </xf>
    <xf numFmtId="0" fontId="0" fillId="0" borderId="5" xfId="0" applyBorder="1" applyAlignment="1">
      <alignment vertical="center" shrinkToFit="1"/>
    </xf>
    <xf numFmtId="0" fontId="0" fillId="0" borderId="14" xfId="0" applyFill="1" applyBorder="1" applyAlignment="1">
      <alignment horizontal="center" vertical="center"/>
    </xf>
    <xf numFmtId="0" fontId="0" fillId="0" borderId="16" xfId="0" applyFill="1" applyBorder="1" applyAlignment="1">
      <alignment horizontal="center" vertical="center"/>
    </xf>
    <xf numFmtId="0" fontId="28" fillId="5" borderId="0" xfId="0" applyFont="1" applyFill="1" applyAlignment="1" applyProtection="1">
      <alignment vertical="center" shrinkToFit="1"/>
      <protection hidden="1"/>
    </xf>
    <xf numFmtId="0" fontId="0" fillId="0" borderId="0" xfId="0" applyAlignment="1">
      <alignment vertical="center" shrinkToFit="1"/>
    </xf>
    <xf numFmtId="0" fontId="29" fillId="5" borderId="0" xfId="0" applyFont="1" applyFill="1" applyBorder="1" applyAlignment="1" applyProtection="1">
      <alignment vertical="center" shrinkToFit="1"/>
      <protection hidden="1"/>
    </xf>
    <xf numFmtId="0" fontId="24" fillId="0" borderId="0" xfId="0" applyFont="1" applyFill="1" applyAlignment="1">
      <alignment vertical="center" shrinkToFit="1"/>
    </xf>
    <xf numFmtId="0" fontId="27" fillId="0" borderId="0" xfId="0" applyFont="1" applyAlignment="1">
      <alignment vertical="center" shrinkToFit="1"/>
    </xf>
    <xf numFmtId="0" fontId="28" fillId="5" borderId="0" xfId="0" applyFont="1" applyFill="1" applyAlignment="1" applyProtection="1">
      <alignment vertical="center"/>
      <protection hidden="1"/>
    </xf>
    <xf numFmtId="0" fontId="28" fillId="5" borderId="0" xfId="0" applyFont="1" applyFill="1" applyAlignment="1">
      <alignment vertical="center" shrinkToFit="1"/>
    </xf>
  </cellXfs>
  <cellStyles count="3">
    <cellStyle name="パーセント" xfId="2" builtinId="5"/>
    <cellStyle name="桁区切り" xfId="1" builtinId="6"/>
    <cellStyle name="標準" xfId="0" builtinId="0"/>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7620</xdr:colOff>
      <xdr:row>31</xdr:row>
      <xdr:rowOff>15240</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20740" cy="5539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123825</xdr:colOff>
      <xdr:row>0</xdr:row>
      <xdr:rowOff>19050</xdr:rowOff>
    </xdr:from>
    <xdr:to>
      <xdr:col>15</xdr:col>
      <xdr:colOff>647700</xdr:colOff>
      <xdr:row>17</xdr:row>
      <xdr:rowOff>180975</xdr:rowOff>
    </xdr:to>
    <xdr:sp macro="" textlink="">
      <xdr:nvSpPr>
        <xdr:cNvPr id="11" name="テキスト ボックス 10"/>
        <xdr:cNvSpPr txBox="1"/>
      </xdr:nvSpPr>
      <xdr:spPr>
        <a:xfrm>
          <a:off x="6038850" y="19050"/>
          <a:ext cx="6543675" cy="3019425"/>
        </a:xfrm>
        <a:prstGeom prst="rect">
          <a:avLst/>
        </a:prstGeom>
        <a:solidFill>
          <a:schemeClr val="accent6">
            <a:lumMod val="20000"/>
            <a:lumOff val="80000"/>
          </a:schemeClr>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solidFill>
                <a:srgbClr val="FF0000"/>
              </a:solidFill>
              <a:latin typeface="HG創英角ｺﾞｼｯｸUB" panose="020B0909000000000000" pitchFamily="49" charset="-128"/>
              <a:ea typeface="HG創英角ｺﾞｼｯｸUB" panose="020B0909000000000000" pitchFamily="49" charset="-128"/>
            </a:rPr>
            <a:t>「多摩市　国民健康保険税　試算シート」の使い方（参考資料タブもご覧ください）</a:t>
          </a:r>
          <a:endParaRPr kumimoji="1" lang="en-US" altLang="ja-JP" sz="1200">
            <a:solidFill>
              <a:srgbClr val="FF0000"/>
            </a:solidFill>
            <a:latin typeface="HG創英角ｺﾞｼｯｸUB" panose="020B0909000000000000" pitchFamily="49" charset="-128"/>
            <a:ea typeface="HG創英角ｺﾞｼｯｸUB" panose="020B0909000000000000" pitchFamily="49" charset="-128"/>
          </a:endParaRPr>
        </a:p>
        <a:p>
          <a:pPr>
            <a:lnSpc>
              <a:spcPts val="1200"/>
            </a:lnSpc>
          </a:pPr>
          <a:r>
            <a:rPr kumimoji="1" lang="ja-JP" altLang="en-US" sz="1000" b="1"/>
            <a:t>シートに入力する方は、</a:t>
          </a:r>
          <a:r>
            <a:rPr kumimoji="1" lang="ja-JP" altLang="en-US" sz="1000" b="1">
              <a:solidFill>
                <a:srgbClr val="FF0000"/>
              </a:solidFill>
            </a:rPr>
            <a:t>世帯主と</a:t>
          </a:r>
          <a:r>
            <a:rPr kumimoji="1" lang="ja-JP" altLang="en-US" sz="1000" b="1"/>
            <a:t>国民健康保険に加入する方全員です。（保険税は世帯毎に計算します）</a:t>
          </a:r>
        </a:p>
        <a:p>
          <a:pPr>
            <a:lnSpc>
              <a:spcPts val="1200"/>
            </a:lnSpc>
          </a:pPr>
          <a:r>
            <a:rPr kumimoji="1" lang="ja-JP" altLang="en-US" sz="1100">
              <a:solidFill>
                <a:srgbClr val="FF0000"/>
              </a:solidFill>
              <a:latin typeface="+mn-ea"/>
              <a:ea typeface="+mn-ea"/>
            </a:rPr>
            <a:t>入力は右隣の</a:t>
          </a:r>
          <a:r>
            <a:rPr kumimoji="1" lang="ja-JP" altLang="en-US" sz="1100" b="1">
              <a:solidFill>
                <a:srgbClr val="FF0000"/>
              </a:solidFill>
              <a:latin typeface="+mn-ea"/>
              <a:ea typeface="+mn-ea"/>
            </a:rPr>
            <a:t>「基礎情報入力シート」タブ</a:t>
          </a:r>
          <a:r>
            <a:rPr kumimoji="1" lang="ja-JP" altLang="en-US" sz="1100">
              <a:solidFill>
                <a:srgbClr val="FF0000"/>
              </a:solidFill>
              <a:latin typeface="+mn-ea"/>
              <a:ea typeface="+mn-ea"/>
            </a:rPr>
            <a:t>に入力します。</a:t>
          </a:r>
          <a:endParaRPr kumimoji="1" lang="en-US" altLang="ja-JP" sz="1100">
            <a:solidFill>
              <a:srgbClr val="FF0000"/>
            </a:solidFill>
            <a:latin typeface="+mn-ea"/>
            <a:ea typeface="+mn-ea"/>
          </a:endParaRPr>
        </a:p>
        <a:p>
          <a:pPr>
            <a:lnSpc>
              <a:spcPts val="1200"/>
            </a:lnSpc>
          </a:pPr>
          <a:r>
            <a:rPr kumimoji="1" lang="ja-JP" altLang="en-US" sz="1000">
              <a:solidFill>
                <a:srgbClr val="FF0000"/>
              </a:solidFill>
            </a:rPr>
            <a:t>世帯主は一番左（Ｃ列）</a:t>
          </a:r>
          <a:r>
            <a:rPr kumimoji="1" lang="ja-JP" altLang="en-US" sz="1000"/>
            <a:t>に、その他の加入者はＤ～Ｇ列に記入してください。</a:t>
          </a:r>
        </a:p>
        <a:p>
          <a:pPr>
            <a:lnSpc>
              <a:spcPts val="1200"/>
            </a:lnSpc>
          </a:pPr>
          <a:r>
            <a:rPr kumimoji="1" lang="ja-JP" altLang="en-US" sz="1000" b="1">
              <a:latin typeface="HG創英角ｺﾞｼｯｸUB" panose="020B0909000000000000" pitchFamily="49" charset="-128"/>
              <a:ea typeface="HG創英角ｺﾞｼｯｸUB" panose="020B0909000000000000" pitchFamily="49" charset="-128"/>
            </a:rPr>
            <a:t>①</a:t>
          </a:r>
          <a:r>
            <a:rPr kumimoji="1" lang="ja-JP" altLang="en-US" sz="1000"/>
            <a:t>　Ｂ１のセルに年度を入力してください</a:t>
          </a:r>
          <a:r>
            <a:rPr kumimoji="1" lang="en-US" altLang="ja-JP" sz="1000">
              <a:solidFill>
                <a:srgbClr val="FF0000"/>
              </a:solidFill>
            </a:rPr>
            <a:t>【</a:t>
          </a:r>
          <a:r>
            <a:rPr kumimoji="1" lang="ja-JP" altLang="en-US" sz="1000">
              <a:solidFill>
                <a:srgbClr val="FF0000"/>
              </a:solidFill>
            </a:rPr>
            <a:t>必須</a:t>
          </a:r>
          <a:r>
            <a:rPr kumimoji="1" lang="en-US" altLang="ja-JP" sz="1000">
              <a:solidFill>
                <a:srgbClr val="FF0000"/>
              </a:solidFill>
            </a:rPr>
            <a:t>】</a:t>
          </a:r>
          <a:r>
            <a:rPr kumimoji="1" lang="ja-JP" altLang="en-US" sz="1000"/>
            <a:t>（この試算シートは令和</a:t>
          </a:r>
          <a:r>
            <a:rPr kumimoji="1" lang="en-US" altLang="ja-JP" sz="1000"/>
            <a:t>2</a:t>
          </a:r>
          <a:r>
            <a:rPr kumimoji="1" lang="ja-JP" altLang="en-US" sz="1000"/>
            <a:t>年度～</a:t>
          </a:r>
          <a:r>
            <a:rPr kumimoji="1" lang="en-US" altLang="ja-JP" sz="1000"/>
            <a:t>6</a:t>
          </a:r>
          <a:r>
            <a:rPr kumimoji="1" lang="ja-JP" altLang="en-US" sz="1000"/>
            <a:t>年度分のみ対応して</a:t>
          </a:r>
          <a:endParaRPr kumimoji="1" lang="en-US" altLang="ja-JP" sz="1000"/>
        </a:p>
        <a:p>
          <a:pPr>
            <a:lnSpc>
              <a:spcPts val="1200"/>
            </a:lnSpc>
          </a:pPr>
          <a:r>
            <a:rPr kumimoji="1" lang="ja-JP" altLang="en-US" sz="1000"/>
            <a:t>　　います。それ以外の数字では正しく計算できません。）</a:t>
          </a:r>
        </a:p>
        <a:p>
          <a:pPr>
            <a:lnSpc>
              <a:spcPts val="1200"/>
            </a:lnSpc>
          </a:pPr>
          <a:r>
            <a:rPr kumimoji="1" lang="ja-JP" altLang="en-US" sz="1000" b="1">
              <a:latin typeface="HG創英角ｺﾞｼｯｸUB" panose="020B0909000000000000" pitchFamily="49" charset="-128"/>
              <a:ea typeface="HG創英角ｺﾞｼｯｸUB" panose="020B0909000000000000" pitchFamily="49" charset="-128"/>
            </a:rPr>
            <a:t>②</a:t>
          </a:r>
          <a:r>
            <a:rPr kumimoji="1" lang="ja-JP" altLang="en-US" sz="1000"/>
            <a:t>　世帯主が国民健康保険に加入するか否かをＤ２のセルで選んでください。</a:t>
          </a:r>
          <a:r>
            <a:rPr kumimoji="1" lang="en-US" altLang="ja-JP" sz="1000">
              <a:solidFill>
                <a:srgbClr val="FF0000"/>
              </a:solidFill>
            </a:rPr>
            <a:t>【</a:t>
          </a:r>
          <a:r>
            <a:rPr kumimoji="1" lang="ja-JP" altLang="en-US" sz="1000">
              <a:solidFill>
                <a:srgbClr val="FF0000"/>
              </a:solidFill>
            </a:rPr>
            <a:t>必須</a:t>
          </a:r>
          <a:r>
            <a:rPr kumimoji="1" lang="en-US" altLang="ja-JP" sz="1000">
              <a:solidFill>
                <a:srgbClr val="FF0000"/>
              </a:solidFill>
            </a:rPr>
            <a:t>】</a:t>
          </a:r>
          <a:endParaRPr kumimoji="1" lang="ja-JP" altLang="en-US" sz="1000">
            <a:solidFill>
              <a:srgbClr val="FF0000"/>
            </a:solidFill>
          </a:endParaRPr>
        </a:p>
        <a:p>
          <a:pPr>
            <a:lnSpc>
              <a:spcPts val="1200"/>
            </a:lnSpc>
          </a:pPr>
          <a:r>
            <a:rPr kumimoji="1" lang="ja-JP" altLang="en-US" sz="1000" b="1">
              <a:latin typeface="HG創英角ｺﾞｼｯｸUB" panose="020B0909000000000000" pitchFamily="49" charset="-128"/>
              <a:ea typeface="HG創英角ｺﾞｼｯｸUB" panose="020B0909000000000000" pitchFamily="49" charset="-128"/>
            </a:rPr>
            <a:t>③</a:t>
          </a:r>
          <a:r>
            <a:rPr kumimoji="1" lang="ja-JP" altLang="en-US" sz="1000"/>
            <a:t>　世帯主及び加入する方の生年月日を入力してください。</a:t>
          </a:r>
          <a:r>
            <a:rPr kumimoji="1" lang="en-US" altLang="ja-JP" sz="1000">
              <a:solidFill>
                <a:srgbClr val="FF0000"/>
              </a:solidFill>
            </a:rPr>
            <a:t>【</a:t>
          </a:r>
          <a:r>
            <a:rPr kumimoji="1" lang="ja-JP" altLang="en-US" sz="1000">
              <a:solidFill>
                <a:srgbClr val="FF0000"/>
              </a:solidFill>
            </a:rPr>
            <a:t>必須</a:t>
          </a:r>
          <a:r>
            <a:rPr kumimoji="1" lang="en-US" altLang="ja-JP" sz="1000">
              <a:solidFill>
                <a:srgbClr val="FF0000"/>
              </a:solidFill>
            </a:rPr>
            <a:t>】</a:t>
          </a:r>
        </a:p>
        <a:p>
          <a:pPr>
            <a:lnSpc>
              <a:spcPts val="1200"/>
            </a:lnSpc>
          </a:pPr>
          <a:r>
            <a:rPr kumimoji="1" lang="ja-JP" altLang="en-US" sz="1000" b="1">
              <a:latin typeface="HG創英角ｺﾞｼｯｸUB" panose="020B0909000000000000" pitchFamily="49" charset="-128"/>
              <a:ea typeface="HG創英角ｺﾞｼｯｸUB" panose="020B0909000000000000" pitchFamily="49" charset="-128"/>
            </a:rPr>
            <a:t>④</a:t>
          </a:r>
          <a:r>
            <a:rPr kumimoji="1" lang="ja-JP" altLang="en-US" sz="1000"/>
            <a:t>　収入または所得を入力します。</a:t>
          </a:r>
          <a:r>
            <a:rPr kumimoji="1" lang="en-US" altLang="ja-JP" sz="1000">
              <a:solidFill>
                <a:srgbClr val="FF0000"/>
              </a:solidFill>
            </a:rPr>
            <a:t>【</a:t>
          </a:r>
          <a:r>
            <a:rPr kumimoji="1" lang="ja-JP" altLang="en-US" sz="1000">
              <a:solidFill>
                <a:srgbClr val="FF0000"/>
              </a:solidFill>
            </a:rPr>
            <a:t>必須</a:t>
          </a:r>
          <a:r>
            <a:rPr kumimoji="1" lang="en-US" altLang="ja-JP" sz="1000">
              <a:solidFill>
                <a:srgbClr val="FF0000"/>
              </a:solidFill>
            </a:rPr>
            <a:t>】</a:t>
          </a:r>
          <a:endParaRPr kumimoji="1" lang="en-US" altLang="ja-JP" sz="1000">
            <a:solidFill>
              <a:sysClr val="windowText" lastClr="000000"/>
            </a:solidFill>
          </a:endParaRPr>
        </a:p>
        <a:p>
          <a:pPr>
            <a:lnSpc>
              <a:spcPts val="1200"/>
            </a:lnSpc>
          </a:pPr>
          <a:r>
            <a:rPr kumimoji="1" lang="ja-JP" altLang="en-US" sz="1000">
              <a:solidFill>
                <a:sysClr val="windowText" lastClr="000000"/>
              </a:solidFill>
            </a:rPr>
            <a:t>　・</a:t>
          </a:r>
          <a:r>
            <a:rPr kumimoji="1" lang="ja-JP" altLang="en-US" sz="1000"/>
            <a:t>給与と公的年金は収入を入力すると、確定申告の手引きの計算方法に従って、自動的に所得を計算します。</a:t>
          </a:r>
        </a:p>
        <a:p>
          <a:pPr>
            <a:lnSpc>
              <a:spcPts val="1200"/>
            </a:lnSpc>
          </a:pPr>
          <a:r>
            <a:rPr kumimoji="1" lang="ja-JP" altLang="en-US" sz="1000"/>
            <a:t>　・所得を直接入力することもできます。薄茶色のセル</a:t>
          </a:r>
          <a:r>
            <a:rPr kumimoji="1" lang="en-US" altLang="ja-JP" sz="1000"/>
            <a:t>(11</a:t>
          </a:r>
          <a:r>
            <a:rPr kumimoji="1" lang="ja-JP" altLang="en-US" sz="1000"/>
            <a:t>行目、</a:t>
          </a:r>
          <a:r>
            <a:rPr kumimoji="1" lang="en-US" altLang="ja-JP" sz="1000"/>
            <a:t>14</a:t>
          </a:r>
          <a:r>
            <a:rPr kumimoji="1" lang="ja-JP" altLang="en-US" sz="1000"/>
            <a:t>行目</a:t>
          </a:r>
          <a:r>
            <a:rPr kumimoji="1" lang="en-US" altLang="ja-JP" sz="1000"/>
            <a:t>)</a:t>
          </a:r>
          <a:r>
            <a:rPr kumimoji="1" lang="ja-JP" altLang="en-US" sz="1000"/>
            <a:t>に所得を入力すると、収入から</a:t>
          </a:r>
          <a:endParaRPr kumimoji="1" lang="en-US" altLang="ja-JP" sz="1000"/>
        </a:p>
        <a:p>
          <a:pPr>
            <a:lnSpc>
              <a:spcPts val="1200"/>
            </a:lnSpc>
          </a:pPr>
          <a:r>
            <a:rPr kumimoji="1" lang="ja-JP" altLang="en-US" sz="1000"/>
            <a:t>　　自動計算しなくなります。（所得の直接入力が優先されます）</a:t>
          </a:r>
        </a:p>
        <a:p>
          <a:pPr>
            <a:lnSpc>
              <a:spcPts val="1200"/>
            </a:lnSpc>
          </a:pPr>
          <a:r>
            <a:rPr kumimoji="1" lang="ja-JP" altLang="en-US" sz="1000"/>
            <a:t>　・その他の所得（事業・不動産・公的年金以外の年金等）はその他所得欄</a:t>
          </a:r>
          <a:r>
            <a:rPr kumimoji="1" lang="en-US" altLang="ja-JP" sz="1000"/>
            <a:t>(17</a:t>
          </a:r>
          <a:r>
            <a:rPr kumimoji="1" lang="ja-JP" altLang="en-US" sz="1000"/>
            <a:t>行目</a:t>
          </a:r>
          <a:r>
            <a:rPr kumimoji="1" lang="en-US" altLang="ja-JP" sz="1000"/>
            <a:t>)</a:t>
          </a:r>
          <a:r>
            <a:rPr kumimoji="1" lang="ja-JP" altLang="en-US" sz="1000"/>
            <a:t>に直接入力してください。</a:t>
          </a:r>
          <a:endParaRPr kumimoji="1" lang="en-US" altLang="ja-JP" sz="1000"/>
        </a:p>
        <a:p>
          <a:pPr>
            <a:lnSpc>
              <a:spcPts val="1200"/>
            </a:lnSpc>
          </a:pPr>
          <a:r>
            <a:rPr kumimoji="1" lang="ja-JP" altLang="en-US" sz="1000"/>
            <a:t>　・０円は入力しなくても構いません。（空欄は０円と判断されます）</a:t>
          </a:r>
        </a:p>
        <a:p>
          <a:pPr>
            <a:lnSpc>
              <a:spcPts val="1200"/>
            </a:lnSpc>
          </a:pPr>
          <a:r>
            <a:rPr kumimoji="1" lang="ja-JP" altLang="en-US" sz="1000" b="1">
              <a:latin typeface="HG創英角ｺﾞｼｯｸUB" panose="020B0909000000000000" pitchFamily="49" charset="-128"/>
              <a:ea typeface="HG創英角ｺﾞｼｯｸUB" panose="020B0909000000000000" pitchFamily="49" charset="-128"/>
            </a:rPr>
            <a:t>⑤</a:t>
          </a:r>
          <a:r>
            <a:rPr kumimoji="1" lang="ja-JP" altLang="en-US" sz="1000"/>
            <a:t>　非自発的失業の欄はハローワークで発行される「雇用保険受給資格者証」をお持ちの方が対象です。</a:t>
          </a:r>
          <a:endParaRPr kumimoji="1" lang="en-US" altLang="ja-JP" sz="1000"/>
        </a:p>
        <a:p>
          <a:pPr>
            <a:lnSpc>
              <a:spcPts val="1200"/>
            </a:lnSpc>
          </a:pPr>
          <a:r>
            <a:rPr kumimoji="1" lang="ja-JP" altLang="en-US" sz="1000"/>
            <a:t>　　離職理由の２桁のコードを入力してください。対象コードの場合は減額した額で計算されます。</a:t>
          </a:r>
          <a:endParaRPr kumimoji="1" lang="en-US" altLang="ja-JP" sz="1000"/>
        </a:p>
        <a:p>
          <a:pPr>
            <a:lnSpc>
              <a:spcPts val="1200"/>
            </a:lnSpc>
          </a:pPr>
          <a:r>
            <a:rPr kumimoji="1" lang="ja-JP" altLang="en-US" sz="1000"/>
            <a:t>　</a:t>
          </a:r>
          <a:r>
            <a:rPr kumimoji="1" lang="ja-JP" altLang="en-US" sz="1000" b="1"/>
            <a:t>（ただし、多摩市役所の窓口で申請する必要があります。自動的に減額にはなりません）</a:t>
          </a:r>
          <a:endParaRPr kumimoji="1" lang="en-US" altLang="ja-JP" sz="1000" b="1"/>
        </a:p>
        <a:p>
          <a:pPr>
            <a:lnSpc>
              <a:spcPts val="1200"/>
            </a:lnSpc>
          </a:pPr>
          <a:r>
            <a:rPr kumimoji="1" lang="ja-JP" altLang="en-US" sz="1000" b="1">
              <a:latin typeface="HG創英角ｺﾞｼｯｸUB" panose="020B0909000000000000" pitchFamily="49" charset="-128"/>
              <a:ea typeface="HG創英角ｺﾞｼｯｸUB" panose="020B0909000000000000" pitchFamily="49" charset="-128"/>
            </a:rPr>
            <a:t>⑥</a:t>
          </a:r>
          <a:r>
            <a:rPr kumimoji="1" lang="ja-JP" altLang="en-US" sz="1000"/>
            <a:t>　</a:t>
          </a:r>
          <a:r>
            <a:rPr kumimoji="1" lang="ja-JP" altLang="en-US" sz="1000">
              <a:solidFill>
                <a:srgbClr val="FF0000"/>
              </a:solidFill>
            </a:rPr>
            <a:t>入力が終了したら</a:t>
          </a:r>
          <a:r>
            <a:rPr kumimoji="1" lang="ja-JP" altLang="en-US" sz="1000" b="1">
              <a:solidFill>
                <a:srgbClr val="FF0000"/>
              </a:solidFill>
            </a:rPr>
            <a:t>「税額試算書」タブ</a:t>
          </a:r>
          <a:r>
            <a:rPr kumimoji="1" lang="ja-JP" altLang="en-US" sz="1000">
              <a:solidFill>
                <a:srgbClr val="FF0000"/>
              </a:solidFill>
            </a:rPr>
            <a:t>に切り替えると、試算額がわかります。</a:t>
          </a:r>
          <a:endParaRPr kumimoji="1" lang="en-US" altLang="ja-JP" sz="1000">
            <a:solidFill>
              <a:srgbClr val="FF0000"/>
            </a:solidFill>
          </a:endParaRPr>
        </a:p>
        <a:p>
          <a:pPr>
            <a:lnSpc>
              <a:spcPts val="1200"/>
            </a:lnSpc>
          </a:pPr>
          <a:r>
            <a:rPr kumimoji="1" lang="en-US" altLang="ja-JP" sz="1000" b="1">
              <a:solidFill>
                <a:srgbClr val="7030A0"/>
              </a:solidFill>
            </a:rPr>
            <a:t>※</a:t>
          </a:r>
          <a:r>
            <a:rPr kumimoji="1" lang="ja-JP" altLang="en-US" sz="1000" b="1">
              <a:solidFill>
                <a:srgbClr val="7030A0"/>
              </a:solidFill>
            </a:rPr>
            <a:t>この試算シートで計算できるのは５人までです。６人以上の場合は別途お問い合わせください。</a:t>
          </a:r>
          <a:endParaRPr kumimoji="1" lang="ja-JP" altLang="en-US" sz="1000"/>
        </a:p>
      </xdr:txBody>
    </xdr:sp>
    <xdr:clientData/>
  </xdr:twoCellAnchor>
  <xdr:twoCellAnchor>
    <xdr:from>
      <xdr:col>11</xdr:col>
      <xdr:colOff>171450</xdr:colOff>
      <xdr:row>19</xdr:row>
      <xdr:rowOff>114300</xdr:rowOff>
    </xdr:from>
    <xdr:to>
      <xdr:col>11</xdr:col>
      <xdr:colOff>581025</xdr:colOff>
      <xdr:row>22</xdr:row>
      <xdr:rowOff>104775</xdr:rowOff>
    </xdr:to>
    <xdr:sp macro="" textlink="">
      <xdr:nvSpPr>
        <xdr:cNvPr id="12" name="右大かっこ 11"/>
        <xdr:cNvSpPr/>
      </xdr:nvSpPr>
      <xdr:spPr>
        <a:xfrm>
          <a:off x="9353550" y="3352800"/>
          <a:ext cx="409575" cy="561975"/>
        </a:xfrm>
        <a:prstGeom prst="rightBracket">
          <a:avLst/>
        </a:prstGeom>
        <a:ln w="53975">
          <a:solidFill>
            <a:schemeClr val="tx1"/>
          </a:solidFill>
          <a:headEnd type="stealth" w="med" len="med"/>
          <a:tailEnd type="stealth"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28575</xdr:colOff>
      <xdr:row>22</xdr:row>
      <xdr:rowOff>0</xdr:rowOff>
    </xdr:from>
    <xdr:to>
      <xdr:col>13</xdr:col>
      <xdr:colOff>200025</xdr:colOff>
      <xdr:row>25</xdr:row>
      <xdr:rowOff>114300</xdr:rowOff>
    </xdr:to>
    <xdr:cxnSp macro="">
      <xdr:nvCxnSpPr>
        <xdr:cNvPr id="14" name="直線矢印コネクタ 13"/>
        <xdr:cNvCxnSpPr/>
      </xdr:nvCxnSpPr>
      <xdr:spPr>
        <a:xfrm flipH="1">
          <a:off x="9210675" y="3810000"/>
          <a:ext cx="1790700" cy="685800"/>
        </a:xfrm>
        <a:prstGeom prst="straightConnector1">
          <a:avLst/>
        </a:prstGeom>
        <a:ln w="28575">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xdr:colOff>
      <xdr:row>27</xdr:row>
      <xdr:rowOff>101570</xdr:rowOff>
    </xdr:from>
    <xdr:to>
      <xdr:col>11</xdr:col>
      <xdr:colOff>655320</xdr:colOff>
      <xdr:row>27</xdr:row>
      <xdr:rowOff>102870</xdr:rowOff>
    </xdr:to>
    <xdr:cxnSp macro="">
      <xdr:nvCxnSpPr>
        <xdr:cNvPr id="15" name="直線矢印コネクタ 14"/>
        <xdr:cNvCxnSpPr/>
      </xdr:nvCxnSpPr>
      <xdr:spPr>
        <a:xfrm flipH="1" flipV="1">
          <a:off x="9185912" y="4864070"/>
          <a:ext cx="655318" cy="1300"/>
        </a:xfrm>
        <a:prstGeom prst="straightConnector1">
          <a:avLst/>
        </a:prstGeom>
        <a:ln w="28575">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632460</xdr:colOff>
      <xdr:row>25</xdr:row>
      <xdr:rowOff>7620</xdr:rowOff>
    </xdr:from>
    <xdr:to>
      <xdr:col>12</xdr:col>
      <xdr:colOff>3810</xdr:colOff>
      <xdr:row>29</xdr:row>
      <xdr:rowOff>0</xdr:rowOff>
    </xdr:to>
    <xdr:sp macro="" textlink="">
      <xdr:nvSpPr>
        <xdr:cNvPr id="20" name="左中かっこ 19"/>
        <xdr:cNvSpPr/>
      </xdr:nvSpPr>
      <xdr:spPr>
        <a:xfrm>
          <a:off x="9818370" y="4389120"/>
          <a:ext cx="125730" cy="754380"/>
        </a:xfrm>
        <a:prstGeom prst="leftBrace">
          <a:avLst>
            <a:gd name="adj1" fmla="val 41666"/>
            <a:gd name="adj2" fmla="val 63131"/>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475235</xdr:colOff>
      <xdr:row>4</xdr:row>
      <xdr:rowOff>147757</xdr:rowOff>
    </xdr:from>
    <xdr:ext cx="4450096" cy="1344663"/>
    <xdr:sp macro="" textlink="">
      <xdr:nvSpPr>
        <xdr:cNvPr id="3" name="正方形/長方形 2"/>
        <xdr:cNvSpPr/>
      </xdr:nvSpPr>
      <xdr:spPr>
        <a:xfrm rot="20454348">
          <a:off x="985775" y="909757"/>
          <a:ext cx="4450096" cy="1344663"/>
        </a:xfrm>
        <a:prstGeom prst="rect">
          <a:avLst/>
        </a:prstGeom>
        <a:noFill/>
      </xdr:spPr>
      <xdr:txBody>
        <a:bodyPr wrap="square" lIns="91440" tIns="45720" rIns="91440" bIns="45720">
          <a:spAutoFit/>
        </a:bodyPr>
        <a:lstStyle/>
        <a:p>
          <a:pPr algn="ctr"/>
          <a:r>
            <a:rPr lang="en-US" altLang="ja-JP" sz="8000" b="0" cap="none" spc="0">
              <a:ln w="0"/>
              <a:solidFill>
                <a:srgbClr val="00B050"/>
              </a:solidFill>
              <a:effectLst>
                <a:outerShdw blurRad="38100" dist="19050" dir="2700000" algn="tl" rotWithShape="0">
                  <a:schemeClr val="dk1">
                    <a:alpha val="40000"/>
                  </a:schemeClr>
                </a:outerShdw>
              </a:effectLst>
            </a:rPr>
            <a:t>SAMPLE</a:t>
          </a:r>
          <a:endParaRPr lang="ja-JP" altLang="en-US" sz="8000" b="0" cap="none" spc="0">
            <a:ln w="0"/>
            <a:solidFill>
              <a:srgbClr val="00B050"/>
            </a:solidFill>
            <a:effectLst>
              <a:outerShdw blurRad="38100" dist="19050" dir="2700000" algn="tl" rotWithShape="0">
                <a:schemeClr val="dk1">
                  <a:alpha val="40000"/>
                </a:scheme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15240</xdr:colOff>
      <xdr:row>18</xdr:row>
      <xdr:rowOff>17144</xdr:rowOff>
    </xdr:from>
    <xdr:to>
      <xdr:col>7</xdr:col>
      <xdr:colOff>5715</xdr:colOff>
      <xdr:row>31</xdr:row>
      <xdr:rowOff>15240</xdr:rowOff>
    </xdr:to>
    <xdr:sp macro="" textlink="">
      <xdr:nvSpPr>
        <xdr:cNvPr id="2" name="角丸四角形 1"/>
        <xdr:cNvSpPr/>
      </xdr:nvSpPr>
      <xdr:spPr>
        <a:xfrm>
          <a:off x="15240" y="3065144"/>
          <a:ext cx="5903595" cy="2474596"/>
        </a:xfrm>
        <a:prstGeom prst="roundRect">
          <a:avLst>
            <a:gd name="adj" fmla="val 6061"/>
          </a:avLst>
        </a:prstGeom>
        <a:solidFill>
          <a:schemeClr val="accent6">
            <a:lumMod val="50000"/>
            <a:alpha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200">
              <a:latin typeface="BIZ UDゴシック" panose="020B0400000000000000" pitchFamily="49" charset="-128"/>
              <a:ea typeface="BIZ UDゴシック" panose="020B0400000000000000" pitchFamily="49" charset="-128"/>
            </a:rPr>
            <a:t>ここは作業用</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（自動計算）エリアです。</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（入力できません）</a:t>
          </a:r>
          <a:endParaRPr kumimoji="1" lang="en-US" altLang="ja-JP" sz="1200">
            <a:latin typeface="BIZ UDゴシック" panose="020B0400000000000000" pitchFamily="49" charset="-128"/>
            <a:ea typeface="BIZ UDゴシック" panose="020B0400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1152525</xdr:colOff>
      <xdr:row>2</xdr:row>
      <xdr:rowOff>0</xdr:rowOff>
    </xdr:from>
    <xdr:to>
      <xdr:col>18</xdr:col>
      <xdr:colOff>161925</xdr:colOff>
      <xdr:row>2</xdr:row>
      <xdr:rowOff>238125</xdr:rowOff>
    </xdr:to>
    <xdr:sp macro="" textlink="">
      <xdr:nvSpPr>
        <xdr:cNvPr id="3" name="右矢印 2"/>
        <xdr:cNvSpPr/>
      </xdr:nvSpPr>
      <xdr:spPr>
        <a:xfrm>
          <a:off x="6943725" y="561975"/>
          <a:ext cx="247650" cy="2381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56</xdr:row>
      <xdr:rowOff>104775</xdr:rowOff>
    </xdr:from>
    <xdr:to>
      <xdr:col>11</xdr:col>
      <xdr:colOff>390525</xdr:colOff>
      <xdr:row>74</xdr:row>
      <xdr:rowOff>114300</xdr:rowOff>
    </xdr:to>
    <xdr:pic>
      <xdr:nvPicPr>
        <xdr:cNvPr id="16" name="図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306175"/>
          <a:ext cx="7934325" cy="429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38100</xdr:colOff>
      <xdr:row>3</xdr:row>
      <xdr:rowOff>68580</xdr:rowOff>
    </xdr:from>
    <xdr:to>
      <xdr:col>11</xdr:col>
      <xdr:colOff>443387</xdr:colOff>
      <xdr:row>50</xdr:row>
      <xdr:rowOff>121920</xdr:rowOff>
    </xdr:to>
    <xdr:pic>
      <xdr:nvPicPr>
        <xdr:cNvPr id="2" name="図 1"/>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8100" y="883920"/>
          <a:ext cx="7781447" cy="10797540"/>
        </a:xfrm>
        <a:prstGeom prst="rect">
          <a:avLst/>
        </a:prstGeom>
      </xdr:spPr>
    </xdr:pic>
    <xdr:clientData/>
  </xdr:twoCellAnchor>
  <xdr:twoCellAnchor>
    <xdr:from>
      <xdr:col>1</xdr:col>
      <xdr:colOff>175260</xdr:colOff>
      <xdr:row>33</xdr:row>
      <xdr:rowOff>45720</xdr:rowOff>
    </xdr:from>
    <xdr:to>
      <xdr:col>5</xdr:col>
      <xdr:colOff>621030</xdr:colOff>
      <xdr:row>34</xdr:row>
      <xdr:rowOff>121920</xdr:rowOff>
    </xdr:to>
    <xdr:sp macro="" textlink="">
      <xdr:nvSpPr>
        <xdr:cNvPr id="3" name="角丸四角形 2"/>
        <xdr:cNvSpPr/>
      </xdr:nvSpPr>
      <xdr:spPr>
        <a:xfrm>
          <a:off x="845820" y="7719060"/>
          <a:ext cx="3128010" cy="304800"/>
        </a:xfrm>
        <a:prstGeom prst="roundRect">
          <a:avLst/>
        </a:prstGeom>
        <a:noFill/>
        <a:ln w="539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495300</xdr:colOff>
      <xdr:row>34</xdr:row>
      <xdr:rowOff>196216</xdr:rowOff>
    </xdr:from>
    <xdr:to>
      <xdr:col>10</xdr:col>
      <xdr:colOff>619125</xdr:colOff>
      <xdr:row>38</xdr:row>
      <xdr:rowOff>129541</xdr:rowOff>
    </xdr:to>
    <xdr:sp macro="" textlink="">
      <xdr:nvSpPr>
        <xdr:cNvPr id="4" name="線吹き出し 1 (枠付き) 3"/>
        <xdr:cNvSpPr/>
      </xdr:nvSpPr>
      <xdr:spPr>
        <a:xfrm>
          <a:off x="4518660" y="8098156"/>
          <a:ext cx="2806065" cy="847725"/>
        </a:xfrm>
        <a:prstGeom prst="borderCallout1">
          <a:avLst>
            <a:gd name="adj1" fmla="val 31477"/>
            <a:gd name="adj2" fmla="val -4629"/>
            <a:gd name="adj3" fmla="val -8813"/>
            <a:gd name="adj4" fmla="val -21498"/>
          </a:avLst>
        </a:prstGeom>
        <a:solidFill>
          <a:schemeClr val="bg1"/>
        </a:solidFill>
        <a:ln w="53975">
          <a:solidFill>
            <a:srgbClr val="FF0000"/>
          </a:solidFill>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国民健康保険税では、この合計所得金額を基礎に計算します。複数の所得がある方は、その他所得に一括してこの合計額を入力してください。</a:t>
          </a:r>
        </a:p>
      </xdr:txBody>
    </xdr:sp>
    <xdr:clientData/>
  </xdr:twoCellAnchor>
  <xdr:twoCellAnchor>
    <xdr:from>
      <xdr:col>2</xdr:col>
      <xdr:colOff>333375</xdr:colOff>
      <xdr:row>63</xdr:row>
      <xdr:rowOff>142875</xdr:rowOff>
    </xdr:from>
    <xdr:to>
      <xdr:col>4</xdr:col>
      <xdr:colOff>619125</xdr:colOff>
      <xdr:row>66</xdr:row>
      <xdr:rowOff>200025</xdr:rowOff>
    </xdr:to>
    <xdr:sp macro="" textlink="">
      <xdr:nvSpPr>
        <xdr:cNvPr id="6" name="角丸四角形 5"/>
        <xdr:cNvSpPr/>
      </xdr:nvSpPr>
      <xdr:spPr>
        <a:xfrm>
          <a:off x="1704975" y="13011150"/>
          <a:ext cx="1657350" cy="771525"/>
        </a:xfrm>
        <a:prstGeom prst="roundRect">
          <a:avLst/>
        </a:prstGeom>
        <a:noFill/>
        <a:ln w="539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647700</xdr:colOff>
      <xdr:row>63</xdr:row>
      <xdr:rowOff>142875</xdr:rowOff>
    </xdr:from>
    <xdr:to>
      <xdr:col>7</xdr:col>
      <xdr:colOff>114300</xdr:colOff>
      <xdr:row>66</xdr:row>
      <xdr:rowOff>200025</xdr:rowOff>
    </xdr:to>
    <xdr:sp macro="" textlink="">
      <xdr:nvSpPr>
        <xdr:cNvPr id="7" name="角丸四角形 6"/>
        <xdr:cNvSpPr/>
      </xdr:nvSpPr>
      <xdr:spPr>
        <a:xfrm>
          <a:off x="3390900" y="13011150"/>
          <a:ext cx="1524000" cy="771525"/>
        </a:xfrm>
        <a:prstGeom prst="roundRect">
          <a:avLst/>
        </a:prstGeom>
        <a:noFill/>
        <a:ln w="539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647700</xdr:colOff>
      <xdr:row>67</xdr:row>
      <xdr:rowOff>1</xdr:rowOff>
    </xdr:from>
    <xdr:to>
      <xdr:col>12</xdr:col>
      <xdr:colOff>85725</xdr:colOff>
      <xdr:row>69</xdr:row>
      <xdr:rowOff>19050</xdr:rowOff>
    </xdr:to>
    <xdr:sp macro="" textlink="">
      <xdr:nvSpPr>
        <xdr:cNvPr id="8" name="線吹き出し 1 (枠付き) 7"/>
        <xdr:cNvSpPr/>
      </xdr:nvSpPr>
      <xdr:spPr>
        <a:xfrm>
          <a:off x="5448300" y="13820776"/>
          <a:ext cx="2867025" cy="495299"/>
        </a:xfrm>
        <a:prstGeom prst="borderCallout1">
          <a:avLst>
            <a:gd name="adj1" fmla="val 31477"/>
            <a:gd name="adj2" fmla="val -4629"/>
            <a:gd name="adj3" fmla="val -8813"/>
            <a:gd name="adj4" fmla="val -21498"/>
          </a:avLst>
        </a:prstGeom>
        <a:solidFill>
          <a:schemeClr val="bg1"/>
        </a:solidFill>
        <a:ln w="53975">
          <a:solidFill>
            <a:srgbClr val="FF0000"/>
          </a:solidFill>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給与所得を直接入力する方は、ここの金額を入力してください。</a:t>
          </a:r>
        </a:p>
      </xdr:txBody>
    </xdr:sp>
    <xdr:clientData/>
  </xdr:twoCellAnchor>
  <xdr:twoCellAnchor>
    <xdr:from>
      <xdr:col>0</xdr:col>
      <xdr:colOff>209547</xdr:colOff>
      <xdr:row>69</xdr:row>
      <xdr:rowOff>133351</xdr:rowOff>
    </xdr:from>
    <xdr:to>
      <xdr:col>4</xdr:col>
      <xdr:colOff>571498</xdr:colOff>
      <xdr:row>72</xdr:row>
      <xdr:rowOff>104775</xdr:rowOff>
    </xdr:to>
    <xdr:sp macro="" textlink="">
      <xdr:nvSpPr>
        <xdr:cNvPr id="9" name="線吹き出し 1 (枠付き) 8"/>
        <xdr:cNvSpPr/>
      </xdr:nvSpPr>
      <xdr:spPr>
        <a:xfrm flipH="1">
          <a:off x="209547" y="14430376"/>
          <a:ext cx="3105151" cy="685799"/>
        </a:xfrm>
        <a:prstGeom prst="borderCallout1">
          <a:avLst>
            <a:gd name="adj1" fmla="val -18523"/>
            <a:gd name="adj2" fmla="val 7916"/>
            <a:gd name="adj3" fmla="val -95786"/>
            <a:gd name="adj4" fmla="val 5329"/>
          </a:avLst>
        </a:prstGeom>
        <a:solidFill>
          <a:schemeClr val="bg1"/>
        </a:solidFill>
        <a:ln w="53975">
          <a:solidFill>
            <a:srgbClr val="FF0000"/>
          </a:solidFill>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給与</a:t>
          </a:r>
          <a:r>
            <a:rPr kumimoji="1" lang="ja-JP" altLang="en-US" sz="1100" b="1">
              <a:solidFill>
                <a:srgbClr val="92D050"/>
              </a:solidFill>
              <a:latin typeface="ＭＳ ゴシック" panose="020B0609070205080204" pitchFamily="49" charset="-128"/>
              <a:ea typeface="ＭＳ ゴシック" panose="020B0609070205080204" pitchFamily="49" charset="-128"/>
            </a:rPr>
            <a:t>収入</a:t>
          </a:r>
          <a:r>
            <a:rPr kumimoji="1" lang="ja-JP" altLang="en-US" sz="1100" b="1">
              <a:solidFill>
                <a:srgbClr val="FF0000"/>
              </a:solidFill>
              <a:latin typeface="ＭＳ ゴシック" panose="020B0609070205080204" pitchFamily="49" charset="-128"/>
              <a:ea typeface="ＭＳ ゴシック" panose="020B0609070205080204" pitchFamily="49" charset="-128"/>
            </a:rPr>
            <a:t>は、ここの金額を入力してください。（給与所得額が確定申告の手引きの計算方法に従って、自動計算されます）</a:t>
          </a:r>
        </a:p>
      </xdr:txBody>
    </xdr:sp>
    <xdr:clientData/>
  </xdr:twoCellAnchor>
  <xdr:twoCellAnchor editAs="oneCell">
    <xdr:from>
      <xdr:col>0</xdr:col>
      <xdr:colOff>0</xdr:colOff>
      <xdr:row>78</xdr:row>
      <xdr:rowOff>47625</xdr:rowOff>
    </xdr:from>
    <xdr:to>
      <xdr:col>9</xdr:col>
      <xdr:colOff>628650</xdr:colOff>
      <xdr:row>97</xdr:row>
      <xdr:rowOff>57150</xdr:rowOff>
    </xdr:to>
    <xdr:pic>
      <xdr:nvPicPr>
        <xdr:cNvPr id="10" name="図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a:ext>
          </a:extLst>
        </a:blip>
        <a:srcRect/>
        <a:stretch>
          <a:fillRect/>
        </a:stretch>
      </xdr:blipFill>
      <xdr:spPr bwMode="auto">
        <a:xfrm>
          <a:off x="0" y="17087850"/>
          <a:ext cx="6800850" cy="453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647700</xdr:colOff>
      <xdr:row>94</xdr:row>
      <xdr:rowOff>228600</xdr:rowOff>
    </xdr:from>
    <xdr:to>
      <xdr:col>9</xdr:col>
      <xdr:colOff>514350</xdr:colOff>
      <xdr:row>96</xdr:row>
      <xdr:rowOff>85725</xdr:rowOff>
    </xdr:to>
    <xdr:sp macro="" textlink="">
      <xdr:nvSpPr>
        <xdr:cNvPr id="11" name="テキスト ボックス 10"/>
        <xdr:cNvSpPr txBox="1"/>
      </xdr:nvSpPr>
      <xdr:spPr>
        <a:xfrm>
          <a:off x="5448300" y="21078825"/>
          <a:ext cx="1238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002060"/>
              </a:solidFill>
              <a:latin typeface="ＭＳ ゴシック" panose="020B0609070205080204" pitchFamily="49" charset="-128"/>
              <a:ea typeface="ＭＳ ゴシック" panose="020B0609070205080204" pitchFamily="49" charset="-128"/>
            </a:rPr>
            <a:t>(C)</a:t>
          </a:r>
          <a:r>
            <a:rPr kumimoji="1" lang="ja-JP" altLang="en-US" sz="1100" b="1">
              <a:solidFill>
                <a:srgbClr val="002060"/>
              </a:solidFill>
              <a:latin typeface="ＭＳ ゴシック" panose="020B0609070205080204" pitchFamily="49" charset="-128"/>
              <a:ea typeface="ＭＳ ゴシック" panose="020B0609070205080204" pitchFamily="49" charset="-128"/>
            </a:rPr>
            <a:t>日本年金機構</a:t>
          </a:r>
        </a:p>
      </xdr:txBody>
    </xdr:sp>
    <xdr:clientData/>
  </xdr:twoCellAnchor>
  <xdr:twoCellAnchor>
    <xdr:from>
      <xdr:col>1</xdr:col>
      <xdr:colOff>600075</xdr:colOff>
      <xdr:row>81</xdr:row>
      <xdr:rowOff>123825</xdr:rowOff>
    </xdr:from>
    <xdr:to>
      <xdr:col>5</xdr:col>
      <xdr:colOff>657225</xdr:colOff>
      <xdr:row>86</xdr:row>
      <xdr:rowOff>104775</xdr:rowOff>
    </xdr:to>
    <xdr:sp macro="" textlink="">
      <xdr:nvSpPr>
        <xdr:cNvPr id="12" name="角丸四角形 11"/>
        <xdr:cNvSpPr/>
      </xdr:nvSpPr>
      <xdr:spPr>
        <a:xfrm>
          <a:off x="1285875" y="17878425"/>
          <a:ext cx="2800350" cy="1171575"/>
        </a:xfrm>
        <a:prstGeom prst="roundRect">
          <a:avLst/>
        </a:prstGeom>
        <a:noFill/>
        <a:ln w="539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581026</xdr:colOff>
      <xdr:row>84</xdr:row>
      <xdr:rowOff>38102</xdr:rowOff>
    </xdr:from>
    <xdr:to>
      <xdr:col>9</xdr:col>
      <xdr:colOff>495300</xdr:colOff>
      <xdr:row>86</xdr:row>
      <xdr:rowOff>85726</xdr:rowOff>
    </xdr:to>
    <xdr:sp macro="" textlink="">
      <xdr:nvSpPr>
        <xdr:cNvPr id="13" name="線吹き出し 1 (枠付き) 12"/>
        <xdr:cNvSpPr/>
      </xdr:nvSpPr>
      <xdr:spPr>
        <a:xfrm>
          <a:off x="4604386" y="17114522"/>
          <a:ext cx="1925954" cy="504824"/>
        </a:xfrm>
        <a:prstGeom prst="borderCallout1">
          <a:avLst>
            <a:gd name="adj1" fmla="val 31477"/>
            <a:gd name="adj2" fmla="val -4629"/>
            <a:gd name="adj3" fmla="val -8813"/>
            <a:gd name="adj4" fmla="val -31094"/>
          </a:avLst>
        </a:prstGeom>
        <a:solidFill>
          <a:schemeClr val="bg1"/>
        </a:solidFill>
        <a:ln w="53975">
          <a:solidFill>
            <a:srgbClr val="FF0000"/>
          </a:solidFill>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ここの金額を年金</a:t>
          </a:r>
          <a:r>
            <a:rPr kumimoji="1" lang="ja-JP" altLang="en-US" sz="1100" b="1">
              <a:solidFill>
                <a:srgbClr val="92D050"/>
              </a:solidFill>
              <a:latin typeface="ＭＳ ゴシック" panose="020B0609070205080204" pitchFamily="49" charset="-128"/>
              <a:ea typeface="ＭＳ ゴシック" panose="020B0609070205080204" pitchFamily="49" charset="-128"/>
            </a:rPr>
            <a:t>収入</a:t>
          </a:r>
          <a:r>
            <a:rPr kumimoji="1" lang="ja-JP" altLang="en-US" sz="1100" b="1">
              <a:solidFill>
                <a:srgbClr val="FF0000"/>
              </a:solidFill>
              <a:latin typeface="ＭＳ ゴシック" panose="020B0609070205080204" pitchFamily="49" charset="-128"/>
              <a:ea typeface="ＭＳ ゴシック" panose="020B0609070205080204" pitchFamily="49" charset="-128"/>
            </a:rPr>
            <a:t>額の</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欄に記入</a:t>
          </a:r>
        </a:p>
      </xdr:txBody>
    </xdr:sp>
    <xdr:clientData/>
  </xdr:twoCellAnchor>
  <xdr:twoCellAnchor>
    <xdr:from>
      <xdr:col>0</xdr:col>
      <xdr:colOff>180975</xdr:colOff>
      <xdr:row>73</xdr:row>
      <xdr:rowOff>228600</xdr:rowOff>
    </xdr:from>
    <xdr:to>
      <xdr:col>11</xdr:col>
      <xdr:colOff>257175</xdr:colOff>
      <xdr:row>74</xdr:row>
      <xdr:rowOff>161925</xdr:rowOff>
    </xdr:to>
    <xdr:cxnSp macro="">
      <xdr:nvCxnSpPr>
        <xdr:cNvPr id="15" name="曲線コネクタ 14"/>
        <xdr:cNvCxnSpPr/>
      </xdr:nvCxnSpPr>
      <xdr:spPr>
        <a:xfrm>
          <a:off x="180975" y="15478125"/>
          <a:ext cx="7620000" cy="171450"/>
        </a:xfrm>
        <a:prstGeom prst="curvedConnector3">
          <a:avLst/>
        </a:prstGeom>
        <a:ln w="28575" cmpd="dbl">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49"/>
  <sheetViews>
    <sheetView tabSelected="1" zoomScaleNormal="100" workbookViewId="0"/>
  </sheetViews>
  <sheetFormatPr defaultRowHeight="15" customHeight="1" x14ac:dyDescent="0.45"/>
  <cols>
    <col min="1" max="1" width="6.69921875" style="116" customWidth="1"/>
    <col min="2" max="2" width="8.3984375" style="116" customWidth="1"/>
    <col min="3" max="7" width="12.5" style="116" customWidth="1"/>
    <col min="8" max="8" width="9" style="116"/>
    <col min="9" max="9" width="5.19921875" style="116" bestFit="1" customWidth="1"/>
    <col min="10" max="10" width="21.5" style="116" customWidth="1"/>
    <col min="11" max="11" width="7.09765625" style="116" bestFit="1" customWidth="1"/>
    <col min="12" max="12" width="9.8984375" style="116" customWidth="1"/>
    <col min="13" max="13" width="11.3984375" style="116" customWidth="1"/>
    <col min="14" max="14" width="5.8984375" style="116" customWidth="1"/>
    <col min="15" max="16" width="9" style="116"/>
    <col min="17" max="17" width="6.09765625" style="116" customWidth="1"/>
    <col min="18" max="18" width="19.5" style="116" customWidth="1"/>
    <col min="19" max="249" width="9" style="116"/>
    <col min="250" max="250" width="6.8984375" style="116" customWidth="1"/>
    <col min="251" max="251" width="7.5" style="116" customWidth="1"/>
    <col min="252" max="252" width="6.69921875" style="116" customWidth="1"/>
    <col min="253" max="253" width="8.3984375" style="116" customWidth="1"/>
    <col min="254" max="254" width="4.5" style="116" customWidth="1"/>
    <col min="255" max="255" width="8.19921875" style="116" customWidth="1"/>
    <col min="256" max="256" width="3.69921875" style="116" customWidth="1"/>
    <col min="257" max="257" width="7.69921875" style="116" customWidth="1"/>
    <col min="258" max="258" width="3.69921875" style="116" customWidth="1"/>
    <col min="259" max="259" width="7.69921875" style="116" customWidth="1"/>
    <col min="260" max="260" width="3.69921875" style="116" customWidth="1"/>
    <col min="261" max="261" width="7.69921875" style="116" customWidth="1"/>
    <col min="262" max="262" width="3.69921875" style="116" customWidth="1"/>
    <col min="263" max="263" width="6.19921875" style="116" customWidth="1"/>
    <col min="264" max="264" width="9" style="116"/>
    <col min="265" max="265" width="12.59765625" style="116" customWidth="1"/>
    <col min="266" max="266" width="19.09765625" style="116" customWidth="1"/>
    <col min="267" max="267" width="4.69921875" style="116" customWidth="1"/>
    <col min="268" max="268" width="9.8984375" style="116" customWidth="1"/>
    <col min="269" max="269" width="11.3984375" style="116" customWidth="1"/>
    <col min="270" max="270" width="5.8984375" style="116" customWidth="1"/>
    <col min="271" max="272" width="9" style="116"/>
    <col min="273" max="273" width="6.09765625" style="116" customWidth="1"/>
    <col min="274" max="274" width="19.5" style="116" customWidth="1"/>
    <col min="275" max="505" width="9" style="116"/>
    <col min="506" max="506" width="6.8984375" style="116" customWidth="1"/>
    <col min="507" max="507" width="7.5" style="116" customWidth="1"/>
    <col min="508" max="508" width="6.69921875" style="116" customWidth="1"/>
    <col min="509" max="509" width="8.3984375" style="116" customWidth="1"/>
    <col min="510" max="510" width="4.5" style="116" customWidth="1"/>
    <col min="511" max="511" width="8.19921875" style="116" customWidth="1"/>
    <col min="512" max="512" width="3.69921875" style="116" customWidth="1"/>
    <col min="513" max="513" width="7.69921875" style="116" customWidth="1"/>
    <col min="514" max="514" width="3.69921875" style="116" customWidth="1"/>
    <col min="515" max="515" width="7.69921875" style="116" customWidth="1"/>
    <col min="516" max="516" width="3.69921875" style="116" customWidth="1"/>
    <col min="517" max="517" width="7.69921875" style="116" customWidth="1"/>
    <col min="518" max="518" width="3.69921875" style="116" customWidth="1"/>
    <col min="519" max="519" width="6.19921875" style="116" customWidth="1"/>
    <col min="520" max="520" width="9" style="116"/>
    <col min="521" max="521" width="12.59765625" style="116" customWidth="1"/>
    <col min="522" max="522" width="19.09765625" style="116" customWidth="1"/>
    <col min="523" max="523" width="4.69921875" style="116" customWidth="1"/>
    <col min="524" max="524" width="9.8984375" style="116" customWidth="1"/>
    <col min="525" max="525" width="11.3984375" style="116" customWidth="1"/>
    <col min="526" max="526" width="5.8984375" style="116" customWidth="1"/>
    <col min="527" max="528" width="9" style="116"/>
    <col min="529" max="529" width="6.09765625" style="116" customWidth="1"/>
    <col min="530" max="530" width="19.5" style="116" customWidth="1"/>
    <col min="531" max="761" width="9" style="116"/>
    <col min="762" max="762" width="6.8984375" style="116" customWidth="1"/>
    <col min="763" max="763" width="7.5" style="116" customWidth="1"/>
    <col min="764" max="764" width="6.69921875" style="116" customWidth="1"/>
    <col min="765" max="765" width="8.3984375" style="116" customWidth="1"/>
    <col min="766" max="766" width="4.5" style="116" customWidth="1"/>
    <col min="767" max="767" width="8.19921875" style="116" customWidth="1"/>
    <col min="768" max="768" width="3.69921875" style="116" customWidth="1"/>
    <col min="769" max="769" width="7.69921875" style="116" customWidth="1"/>
    <col min="770" max="770" width="3.69921875" style="116" customWidth="1"/>
    <col min="771" max="771" width="7.69921875" style="116" customWidth="1"/>
    <col min="772" max="772" width="3.69921875" style="116" customWidth="1"/>
    <col min="773" max="773" width="7.69921875" style="116" customWidth="1"/>
    <col min="774" max="774" width="3.69921875" style="116" customWidth="1"/>
    <col min="775" max="775" width="6.19921875" style="116" customWidth="1"/>
    <col min="776" max="776" width="9" style="116"/>
    <col min="777" max="777" width="12.59765625" style="116" customWidth="1"/>
    <col min="778" max="778" width="19.09765625" style="116" customWidth="1"/>
    <col min="779" max="779" width="4.69921875" style="116" customWidth="1"/>
    <col min="780" max="780" width="9.8984375" style="116" customWidth="1"/>
    <col min="781" max="781" width="11.3984375" style="116" customWidth="1"/>
    <col min="782" max="782" width="5.8984375" style="116" customWidth="1"/>
    <col min="783" max="784" width="9" style="116"/>
    <col min="785" max="785" width="6.09765625" style="116" customWidth="1"/>
    <col min="786" max="786" width="19.5" style="116" customWidth="1"/>
    <col min="787" max="1017" width="9" style="116"/>
    <col min="1018" max="1018" width="6.8984375" style="116" customWidth="1"/>
    <col min="1019" max="1019" width="7.5" style="116" customWidth="1"/>
    <col min="1020" max="1020" width="6.69921875" style="116" customWidth="1"/>
    <col min="1021" max="1021" width="8.3984375" style="116" customWidth="1"/>
    <col min="1022" max="1022" width="4.5" style="116" customWidth="1"/>
    <col min="1023" max="1023" width="8.19921875" style="116" customWidth="1"/>
    <col min="1024" max="1024" width="3.69921875" style="116" customWidth="1"/>
    <col min="1025" max="1025" width="7.69921875" style="116" customWidth="1"/>
    <col min="1026" max="1026" width="3.69921875" style="116" customWidth="1"/>
    <col min="1027" max="1027" width="7.69921875" style="116" customWidth="1"/>
    <col min="1028" max="1028" width="3.69921875" style="116" customWidth="1"/>
    <col min="1029" max="1029" width="7.69921875" style="116" customWidth="1"/>
    <col min="1030" max="1030" width="3.69921875" style="116" customWidth="1"/>
    <col min="1031" max="1031" width="6.19921875" style="116" customWidth="1"/>
    <col min="1032" max="1032" width="9" style="116"/>
    <col min="1033" max="1033" width="12.59765625" style="116" customWidth="1"/>
    <col min="1034" max="1034" width="19.09765625" style="116" customWidth="1"/>
    <col min="1035" max="1035" width="4.69921875" style="116" customWidth="1"/>
    <col min="1036" max="1036" width="9.8984375" style="116" customWidth="1"/>
    <col min="1037" max="1037" width="11.3984375" style="116" customWidth="1"/>
    <col min="1038" max="1038" width="5.8984375" style="116" customWidth="1"/>
    <col min="1039" max="1040" width="9" style="116"/>
    <col min="1041" max="1041" width="6.09765625" style="116" customWidth="1"/>
    <col min="1042" max="1042" width="19.5" style="116" customWidth="1"/>
    <col min="1043" max="1273" width="9" style="116"/>
    <col min="1274" max="1274" width="6.8984375" style="116" customWidth="1"/>
    <col min="1275" max="1275" width="7.5" style="116" customWidth="1"/>
    <col min="1276" max="1276" width="6.69921875" style="116" customWidth="1"/>
    <col min="1277" max="1277" width="8.3984375" style="116" customWidth="1"/>
    <col min="1278" max="1278" width="4.5" style="116" customWidth="1"/>
    <col min="1279" max="1279" width="8.19921875" style="116" customWidth="1"/>
    <col min="1280" max="1280" width="3.69921875" style="116" customWidth="1"/>
    <col min="1281" max="1281" width="7.69921875" style="116" customWidth="1"/>
    <col min="1282" max="1282" width="3.69921875" style="116" customWidth="1"/>
    <col min="1283" max="1283" width="7.69921875" style="116" customWidth="1"/>
    <col min="1284" max="1284" width="3.69921875" style="116" customWidth="1"/>
    <col min="1285" max="1285" width="7.69921875" style="116" customWidth="1"/>
    <col min="1286" max="1286" width="3.69921875" style="116" customWidth="1"/>
    <col min="1287" max="1287" width="6.19921875" style="116" customWidth="1"/>
    <col min="1288" max="1288" width="9" style="116"/>
    <col min="1289" max="1289" width="12.59765625" style="116" customWidth="1"/>
    <col min="1290" max="1290" width="19.09765625" style="116" customWidth="1"/>
    <col min="1291" max="1291" width="4.69921875" style="116" customWidth="1"/>
    <col min="1292" max="1292" width="9.8984375" style="116" customWidth="1"/>
    <col min="1293" max="1293" width="11.3984375" style="116" customWidth="1"/>
    <col min="1294" max="1294" width="5.8984375" style="116" customWidth="1"/>
    <col min="1295" max="1296" width="9" style="116"/>
    <col min="1297" max="1297" width="6.09765625" style="116" customWidth="1"/>
    <col min="1298" max="1298" width="19.5" style="116" customWidth="1"/>
    <col min="1299" max="1529" width="9" style="116"/>
    <col min="1530" max="1530" width="6.8984375" style="116" customWidth="1"/>
    <col min="1531" max="1531" width="7.5" style="116" customWidth="1"/>
    <col min="1532" max="1532" width="6.69921875" style="116" customWidth="1"/>
    <col min="1533" max="1533" width="8.3984375" style="116" customWidth="1"/>
    <col min="1534" max="1534" width="4.5" style="116" customWidth="1"/>
    <col min="1535" max="1535" width="8.19921875" style="116" customWidth="1"/>
    <col min="1536" max="1536" width="3.69921875" style="116" customWidth="1"/>
    <col min="1537" max="1537" width="7.69921875" style="116" customWidth="1"/>
    <col min="1538" max="1538" width="3.69921875" style="116" customWidth="1"/>
    <col min="1539" max="1539" width="7.69921875" style="116" customWidth="1"/>
    <col min="1540" max="1540" width="3.69921875" style="116" customWidth="1"/>
    <col min="1541" max="1541" width="7.69921875" style="116" customWidth="1"/>
    <col min="1542" max="1542" width="3.69921875" style="116" customWidth="1"/>
    <col min="1543" max="1543" width="6.19921875" style="116" customWidth="1"/>
    <col min="1544" max="1544" width="9" style="116"/>
    <col min="1545" max="1545" width="12.59765625" style="116" customWidth="1"/>
    <col min="1546" max="1546" width="19.09765625" style="116" customWidth="1"/>
    <col min="1547" max="1547" width="4.69921875" style="116" customWidth="1"/>
    <col min="1548" max="1548" width="9.8984375" style="116" customWidth="1"/>
    <col min="1549" max="1549" width="11.3984375" style="116" customWidth="1"/>
    <col min="1550" max="1550" width="5.8984375" style="116" customWidth="1"/>
    <col min="1551" max="1552" width="9" style="116"/>
    <col min="1553" max="1553" width="6.09765625" style="116" customWidth="1"/>
    <col min="1554" max="1554" width="19.5" style="116" customWidth="1"/>
    <col min="1555" max="1785" width="9" style="116"/>
    <col min="1786" max="1786" width="6.8984375" style="116" customWidth="1"/>
    <col min="1787" max="1787" width="7.5" style="116" customWidth="1"/>
    <col min="1788" max="1788" width="6.69921875" style="116" customWidth="1"/>
    <col min="1789" max="1789" width="8.3984375" style="116" customWidth="1"/>
    <col min="1790" max="1790" width="4.5" style="116" customWidth="1"/>
    <col min="1791" max="1791" width="8.19921875" style="116" customWidth="1"/>
    <col min="1792" max="1792" width="3.69921875" style="116" customWidth="1"/>
    <col min="1793" max="1793" width="7.69921875" style="116" customWidth="1"/>
    <col min="1794" max="1794" width="3.69921875" style="116" customWidth="1"/>
    <col min="1795" max="1795" width="7.69921875" style="116" customWidth="1"/>
    <col min="1796" max="1796" width="3.69921875" style="116" customWidth="1"/>
    <col min="1797" max="1797" width="7.69921875" style="116" customWidth="1"/>
    <col min="1798" max="1798" width="3.69921875" style="116" customWidth="1"/>
    <col min="1799" max="1799" width="6.19921875" style="116" customWidth="1"/>
    <col min="1800" max="1800" width="9" style="116"/>
    <col min="1801" max="1801" width="12.59765625" style="116" customWidth="1"/>
    <col min="1802" max="1802" width="19.09765625" style="116" customWidth="1"/>
    <col min="1803" max="1803" width="4.69921875" style="116" customWidth="1"/>
    <col min="1804" max="1804" width="9.8984375" style="116" customWidth="1"/>
    <col min="1805" max="1805" width="11.3984375" style="116" customWidth="1"/>
    <col min="1806" max="1806" width="5.8984375" style="116" customWidth="1"/>
    <col min="1807" max="1808" width="9" style="116"/>
    <col min="1809" max="1809" width="6.09765625" style="116" customWidth="1"/>
    <col min="1810" max="1810" width="19.5" style="116" customWidth="1"/>
    <col min="1811" max="2041" width="9" style="116"/>
    <col min="2042" max="2042" width="6.8984375" style="116" customWidth="1"/>
    <col min="2043" max="2043" width="7.5" style="116" customWidth="1"/>
    <col min="2044" max="2044" width="6.69921875" style="116" customWidth="1"/>
    <col min="2045" max="2045" width="8.3984375" style="116" customWidth="1"/>
    <col min="2046" max="2046" width="4.5" style="116" customWidth="1"/>
    <col min="2047" max="2047" width="8.19921875" style="116" customWidth="1"/>
    <col min="2048" max="2048" width="3.69921875" style="116" customWidth="1"/>
    <col min="2049" max="2049" width="7.69921875" style="116" customWidth="1"/>
    <col min="2050" max="2050" width="3.69921875" style="116" customWidth="1"/>
    <col min="2051" max="2051" width="7.69921875" style="116" customWidth="1"/>
    <col min="2052" max="2052" width="3.69921875" style="116" customWidth="1"/>
    <col min="2053" max="2053" width="7.69921875" style="116" customWidth="1"/>
    <col min="2054" max="2054" width="3.69921875" style="116" customWidth="1"/>
    <col min="2055" max="2055" width="6.19921875" style="116" customWidth="1"/>
    <col min="2056" max="2056" width="9" style="116"/>
    <col min="2057" max="2057" width="12.59765625" style="116" customWidth="1"/>
    <col min="2058" max="2058" width="19.09765625" style="116" customWidth="1"/>
    <col min="2059" max="2059" width="4.69921875" style="116" customWidth="1"/>
    <col min="2060" max="2060" width="9.8984375" style="116" customWidth="1"/>
    <col min="2061" max="2061" width="11.3984375" style="116" customWidth="1"/>
    <col min="2062" max="2062" width="5.8984375" style="116" customWidth="1"/>
    <col min="2063" max="2064" width="9" style="116"/>
    <col min="2065" max="2065" width="6.09765625" style="116" customWidth="1"/>
    <col min="2066" max="2066" width="19.5" style="116" customWidth="1"/>
    <col min="2067" max="2297" width="9" style="116"/>
    <col min="2298" max="2298" width="6.8984375" style="116" customWidth="1"/>
    <col min="2299" max="2299" width="7.5" style="116" customWidth="1"/>
    <col min="2300" max="2300" width="6.69921875" style="116" customWidth="1"/>
    <col min="2301" max="2301" width="8.3984375" style="116" customWidth="1"/>
    <col min="2302" max="2302" width="4.5" style="116" customWidth="1"/>
    <col min="2303" max="2303" width="8.19921875" style="116" customWidth="1"/>
    <col min="2304" max="2304" width="3.69921875" style="116" customWidth="1"/>
    <col min="2305" max="2305" width="7.69921875" style="116" customWidth="1"/>
    <col min="2306" max="2306" width="3.69921875" style="116" customWidth="1"/>
    <col min="2307" max="2307" width="7.69921875" style="116" customWidth="1"/>
    <col min="2308" max="2308" width="3.69921875" style="116" customWidth="1"/>
    <col min="2309" max="2309" width="7.69921875" style="116" customWidth="1"/>
    <col min="2310" max="2310" width="3.69921875" style="116" customWidth="1"/>
    <col min="2311" max="2311" width="6.19921875" style="116" customWidth="1"/>
    <col min="2312" max="2312" width="9" style="116"/>
    <col min="2313" max="2313" width="12.59765625" style="116" customWidth="1"/>
    <col min="2314" max="2314" width="19.09765625" style="116" customWidth="1"/>
    <col min="2315" max="2315" width="4.69921875" style="116" customWidth="1"/>
    <col min="2316" max="2316" width="9.8984375" style="116" customWidth="1"/>
    <col min="2317" max="2317" width="11.3984375" style="116" customWidth="1"/>
    <col min="2318" max="2318" width="5.8984375" style="116" customWidth="1"/>
    <col min="2319" max="2320" width="9" style="116"/>
    <col min="2321" max="2321" width="6.09765625" style="116" customWidth="1"/>
    <col min="2322" max="2322" width="19.5" style="116" customWidth="1"/>
    <col min="2323" max="2553" width="9" style="116"/>
    <col min="2554" max="2554" width="6.8984375" style="116" customWidth="1"/>
    <col min="2555" max="2555" width="7.5" style="116" customWidth="1"/>
    <col min="2556" max="2556" width="6.69921875" style="116" customWidth="1"/>
    <col min="2557" max="2557" width="8.3984375" style="116" customWidth="1"/>
    <col min="2558" max="2558" width="4.5" style="116" customWidth="1"/>
    <col min="2559" max="2559" width="8.19921875" style="116" customWidth="1"/>
    <col min="2560" max="2560" width="3.69921875" style="116" customWidth="1"/>
    <col min="2561" max="2561" width="7.69921875" style="116" customWidth="1"/>
    <col min="2562" max="2562" width="3.69921875" style="116" customWidth="1"/>
    <col min="2563" max="2563" width="7.69921875" style="116" customWidth="1"/>
    <col min="2564" max="2564" width="3.69921875" style="116" customWidth="1"/>
    <col min="2565" max="2565" width="7.69921875" style="116" customWidth="1"/>
    <col min="2566" max="2566" width="3.69921875" style="116" customWidth="1"/>
    <col min="2567" max="2567" width="6.19921875" style="116" customWidth="1"/>
    <col min="2568" max="2568" width="9" style="116"/>
    <col min="2569" max="2569" width="12.59765625" style="116" customWidth="1"/>
    <col min="2570" max="2570" width="19.09765625" style="116" customWidth="1"/>
    <col min="2571" max="2571" width="4.69921875" style="116" customWidth="1"/>
    <col min="2572" max="2572" width="9.8984375" style="116" customWidth="1"/>
    <col min="2573" max="2573" width="11.3984375" style="116" customWidth="1"/>
    <col min="2574" max="2574" width="5.8984375" style="116" customWidth="1"/>
    <col min="2575" max="2576" width="9" style="116"/>
    <col min="2577" max="2577" width="6.09765625" style="116" customWidth="1"/>
    <col min="2578" max="2578" width="19.5" style="116" customWidth="1"/>
    <col min="2579" max="2809" width="9" style="116"/>
    <col min="2810" max="2810" width="6.8984375" style="116" customWidth="1"/>
    <col min="2811" max="2811" width="7.5" style="116" customWidth="1"/>
    <col min="2812" max="2812" width="6.69921875" style="116" customWidth="1"/>
    <col min="2813" max="2813" width="8.3984375" style="116" customWidth="1"/>
    <col min="2814" max="2814" width="4.5" style="116" customWidth="1"/>
    <col min="2815" max="2815" width="8.19921875" style="116" customWidth="1"/>
    <col min="2816" max="2816" width="3.69921875" style="116" customWidth="1"/>
    <col min="2817" max="2817" width="7.69921875" style="116" customWidth="1"/>
    <col min="2818" max="2818" width="3.69921875" style="116" customWidth="1"/>
    <col min="2819" max="2819" width="7.69921875" style="116" customWidth="1"/>
    <col min="2820" max="2820" width="3.69921875" style="116" customWidth="1"/>
    <col min="2821" max="2821" width="7.69921875" style="116" customWidth="1"/>
    <col min="2822" max="2822" width="3.69921875" style="116" customWidth="1"/>
    <col min="2823" max="2823" width="6.19921875" style="116" customWidth="1"/>
    <col min="2824" max="2824" width="9" style="116"/>
    <col min="2825" max="2825" width="12.59765625" style="116" customWidth="1"/>
    <col min="2826" max="2826" width="19.09765625" style="116" customWidth="1"/>
    <col min="2827" max="2827" width="4.69921875" style="116" customWidth="1"/>
    <col min="2828" max="2828" width="9.8984375" style="116" customWidth="1"/>
    <col min="2829" max="2829" width="11.3984375" style="116" customWidth="1"/>
    <col min="2830" max="2830" width="5.8984375" style="116" customWidth="1"/>
    <col min="2831" max="2832" width="9" style="116"/>
    <col min="2833" max="2833" width="6.09765625" style="116" customWidth="1"/>
    <col min="2834" max="2834" width="19.5" style="116" customWidth="1"/>
    <col min="2835" max="3065" width="9" style="116"/>
    <col min="3066" max="3066" width="6.8984375" style="116" customWidth="1"/>
    <col min="3067" max="3067" width="7.5" style="116" customWidth="1"/>
    <col min="3068" max="3068" width="6.69921875" style="116" customWidth="1"/>
    <col min="3069" max="3069" width="8.3984375" style="116" customWidth="1"/>
    <col min="3070" max="3070" width="4.5" style="116" customWidth="1"/>
    <col min="3071" max="3071" width="8.19921875" style="116" customWidth="1"/>
    <col min="3072" max="3072" width="3.69921875" style="116" customWidth="1"/>
    <col min="3073" max="3073" width="7.69921875" style="116" customWidth="1"/>
    <col min="3074" max="3074" width="3.69921875" style="116" customWidth="1"/>
    <col min="3075" max="3075" width="7.69921875" style="116" customWidth="1"/>
    <col min="3076" max="3076" width="3.69921875" style="116" customWidth="1"/>
    <col min="3077" max="3077" width="7.69921875" style="116" customWidth="1"/>
    <col min="3078" max="3078" width="3.69921875" style="116" customWidth="1"/>
    <col min="3079" max="3079" width="6.19921875" style="116" customWidth="1"/>
    <col min="3080" max="3080" width="9" style="116"/>
    <col min="3081" max="3081" width="12.59765625" style="116" customWidth="1"/>
    <col min="3082" max="3082" width="19.09765625" style="116" customWidth="1"/>
    <col min="3083" max="3083" width="4.69921875" style="116" customWidth="1"/>
    <col min="3084" max="3084" width="9.8984375" style="116" customWidth="1"/>
    <col min="3085" max="3085" width="11.3984375" style="116" customWidth="1"/>
    <col min="3086" max="3086" width="5.8984375" style="116" customWidth="1"/>
    <col min="3087" max="3088" width="9" style="116"/>
    <col min="3089" max="3089" width="6.09765625" style="116" customWidth="1"/>
    <col min="3090" max="3090" width="19.5" style="116" customWidth="1"/>
    <col min="3091" max="3321" width="9" style="116"/>
    <col min="3322" max="3322" width="6.8984375" style="116" customWidth="1"/>
    <col min="3323" max="3323" width="7.5" style="116" customWidth="1"/>
    <col min="3324" max="3324" width="6.69921875" style="116" customWidth="1"/>
    <col min="3325" max="3325" width="8.3984375" style="116" customWidth="1"/>
    <col min="3326" max="3326" width="4.5" style="116" customWidth="1"/>
    <col min="3327" max="3327" width="8.19921875" style="116" customWidth="1"/>
    <col min="3328" max="3328" width="3.69921875" style="116" customWidth="1"/>
    <col min="3329" max="3329" width="7.69921875" style="116" customWidth="1"/>
    <col min="3330" max="3330" width="3.69921875" style="116" customWidth="1"/>
    <col min="3331" max="3331" width="7.69921875" style="116" customWidth="1"/>
    <col min="3332" max="3332" width="3.69921875" style="116" customWidth="1"/>
    <col min="3333" max="3333" width="7.69921875" style="116" customWidth="1"/>
    <col min="3334" max="3334" width="3.69921875" style="116" customWidth="1"/>
    <col min="3335" max="3335" width="6.19921875" style="116" customWidth="1"/>
    <col min="3336" max="3336" width="9" style="116"/>
    <col min="3337" max="3337" width="12.59765625" style="116" customWidth="1"/>
    <col min="3338" max="3338" width="19.09765625" style="116" customWidth="1"/>
    <col min="3339" max="3339" width="4.69921875" style="116" customWidth="1"/>
    <col min="3340" max="3340" width="9.8984375" style="116" customWidth="1"/>
    <col min="3341" max="3341" width="11.3984375" style="116" customWidth="1"/>
    <col min="3342" max="3342" width="5.8984375" style="116" customWidth="1"/>
    <col min="3343" max="3344" width="9" style="116"/>
    <col min="3345" max="3345" width="6.09765625" style="116" customWidth="1"/>
    <col min="3346" max="3346" width="19.5" style="116" customWidth="1"/>
    <col min="3347" max="3577" width="9" style="116"/>
    <col min="3578" max="3578" width="6.8984375" style="116" customWidth="1"/>
    <col min="3579" max="3579" width="7.5" style="116" customWidth="1"/>
    <col min="3580" max="3580" width="6.69921875" style="116" customWidth="1"/>
    <col min="3581" max="3581" width="8.3984375" style="116" customWidth="1"/>
    <col min="3582" max="3582" width="4.5" style="116" customWidth="1"/>
    <col min="3583" max="3583" width="8.19921875" style="116" customWidth="1"/>
    <col min="3584" max="3584" width="3.69921875" style="116" customWidth="1"/>
    <col min="3585" max="3585" width="7.69921875" style="116" customWidth="1"/>
    <col min="3586" max="3586" width="3.69921875" style="116" customWidth="1"/>
    <col min="3587" max="3587" width="7.69921875" style="116" customWidth="1"/>
    <col min="3588" max="3588" width="3.69921875" style="116" customWidth="1"/>
    <col min="3589" max="3589" width="7.69921875" style="116" customWidth="1"/>
    <col min="3590" max="3590" width="3.69921875" style="116" customWidth="1"/>
    <col min="3591" max="3591" width="6.19921875" style="116" customWidth="1"/>
    <col min="3592" max="3592" width="9" style="116"/>
    <col min="3593" max="3593" width="12.59765625" style="116" customWidth="1"/>
    <col min="3594" max="3594" width="19.09765625" style="116" customWidth="1"/>
    <col min="3595" max="3595" width="4.69921875" style="116" customWidth="1"/>
    <col min="3596" max="3596" width="9.8984375" style="116" customWidth="1"/>
    <col min="3597" max="3597" width="11.3984375" style="116" customWidth="1"/>
    <col min="3598" max="3598" width="5.8984375" style="116" customWidth="1"/>
    <col min="3599" max="3600" width="9" style="116"/>
    <col min="3601" max="3601" width="6.09765625" style="116" customWidth="1"/>
    <col min="3602" max="3602" width="19.5" style="116" customWidth="1"/>
    <col min="3603" max="3833" width="9" style="116"/>
    <col min="3834" max="3834" width="6.8984375" style="116" customWidth="1"/>
    <col min="3835" max="3835" width="7.5" style="116" customWidth="1"/>
    <col min="3836" max="3836" width="6.69921875" style="116" customWidth="1"/>
    <col min="3837" max="3837" width="8.3984375" style="116" customWidth="1"/>
    <col min="3838" max="3838" width="4.5" style="116" customWidth="1"/>
    <col min="3839" max="3839" width="8.19921875" style="116" customWidth="1"/>
    <col min="3840" max="3840" width="3.69921875" style="116" customWidth="1"/>
    <col min="3841" max="3841" width="7.69921875" style="116" customWidth="1"/>
    <col min="3842" max="3842" width="3.69921875" style="116" customWidth="1"/>
    <col min="3843" max="3843" width="7.69921875" style="116" customWidth="1"/>
    <col min="3844" max="3844" width="3.69921875" style="116" customWidth="1"/>
    <col min="3845" max="3845" width="7.69921875" style="116" customWidth="1"/>
    <col min="3846" max="3846" width="3.69921875" style="116" customWidth="1"/>
    <col min="3847" max="3847" width="6.19921875" style="116" customWidth="1"/>
    <col min="3848" max="3848" width="9" style="116"/>
    <col min="3849" max="3849" width="12.59765625" style="116" customWidth="1"/>
    <col min="3850" max="3850" width="19.09765625" style="116" customWidth="1"/>
    <col min="3851" max="3851" width="4.69921875" style="116" customWidth="1"/>
    <col min="3852" max="3852" width="9.8984375" style="116" customWidth="1"/>
    <col min="3853" max="3853" width="11.3984375" style="116" customWidth="1"/>
    <col min="3854" max="3854" width="5.8984375" style="116" customWidth="1"/>
    <col min="3855" max="3856" width="9" style="116"/>
    <col min="3857" max="3857" width="6.09765625" style="116" customWidth="1"/>
    <col min="3858" max="3858" width="19.5" style="116" customWidth="1"/>
    <col min="3859" max="4089" width="9" style="116"/>
    <col min="4090" max="4090" width="6.8984375" style="116" customWidth="1"/>
    <col min="4091" max="4091" width="7.5" style="116" customWidth="1"/>
    <col min="4092" max="4092" width="6.69921875" style="116" customWidth="1"/>
    <col min="4093" max="4093" width="8.3984375" style="116" customWidth="1"/>
    <col min="4094" max="4094" width="4.5" style="116" customWidth="1"/>
    <col min="4095" max="4095" width="8.19921875" style="116" customWidth="1"/>
    <col min="4096" max="4096" width="3.69921875" style="116" customWidth="1"/>
    <col min="4097" max="4097" width="7.69921875" style="116" customWidth="1"/>
    <col min="4098" max="4098" width="3.69921875" style="116" customWidth="1"/>
    <col min="4099" max="4099" width="7.69921875" style="116" customWidth="1"/>
    <col min="4100" max="4100" width="3.69921875" style="116" customWidth="1"/>
    <col min="4101" max="4101" width="7.69921875" style="116" customWidth="1"/>
    <col min="4102" max="4102" width="3.69921875" style="116" customWidth="1"/>
    <col min="4103" max="4103" width="6.19921875" style="116" customWidth="1"/>
    <col min="4104" max="4104" width="9" style="116"/>
    <col min="4105" max="4105" width="12.59765625" style="116" customWidth="1"/>
    <col min="4106" max="4106" width="19.09765625" style="116" customWidth="1"/>
    <col min="4107" max="4107" width="4.69921875" style="116" customWidth="1"/>
    <col min="4108" max="4108" width="9.8984375" style="116" customWidth="1"/>
    <col min="4109" max="4109" width="11.3984375" style="116" customWidth="1"/>
    <col min="4110" max="4110" width="5.8984375" style="116" customWidth="1"/>
    <col min="4111" max="4112" width="9" style="116"/>
    <col min="4113" max="4113" width="6.09765625" style="116" customWidth="1"/>
    <col min="4114" max="4114" width="19.5" style="116" customWidth="1"/>
    <col min="4115" max="4345" width="9" style="116"/>
    <col min="4346" max="4346" width="6.8984375" style="116" customWidth="1"/>
    <col min="4347" max="4347" width="7.5" style="116" customWidth="1"/>
    <col min="4348" max="4348" width="6.69921875" style="116" customWidth="1"/>
    <col min="4349" max="4349" width="8.3984375" style="116" customWidth="1"/>
    <col min="4350" max="4350" width="4.5" style="116" customWidth="1"/>
    <col min="4351" max="4351" width="8.19921875" style="116" customWidth="1"/>
    <col min="4352" max="4352" width="3.69921875" style="116" customWidth="1"/>
    <col min="4353" max="4353" width="7.69921875" style="116" customWidth="1"/>
    <col min="4354" max="4354" width="3.69921875" style="116" customWidth="1"/>
    <col min="4355" max="4355" width="7.69921875" style="116" customWidth="1"/>
    <col min="4356" max="4356" width="3.69921875" style="116" customWidth="1"/>
    <col min="4357" max="4357" width="7.69921875" style="116" customWidth="1"/>
    <col min="4358" max="4358" width="3.69921875" style="116" customWidth="1"/>
    <col min="4359" max="4359" width="6.19921875" style="116" customWidth="1"/>
    <col min="4360" max="4360" width="9" style="116"/>
    <col min="4361" max="4361" width="12.59765625" style="116" customWidth="1"/>
    <col min="4362" max="4362" width="19.09765625" style="116" customWidth="1"/>
    <col min="4363" max="4363" width="4.69921875" style="116" customWidth="1"/>
    <col min="4364" max="4364" width="9.8984375" style="116" customWidth="1"/>
    <col min="4365" max="4365" width="11.3984375" style="116" customWidth="1"/>
    <col min="4366" max="4366" width="5.8984375" style="116" customWidth="1"/>
    <col min="4367" max="4368" width="9" style="116"/>
    <col min="4369" max="4369" width="6.09765625" style="116" customWidth="1"/>
    <col min="4370" max="4370" width="19.5" style="116" customWidth="1"/>
    <col min="4371" max="4601" width="9" style="116"/>
    <col min="4602" max="4602" width="6.8984375" style="116" customWidth="1"/>
    <col min="4603" max="4603" width="7.5" style="116" customWidth="1"/>
    <col min="4604" max="4604" width="6.69921875" style="116" customWidth="1"/>
    <col min="4605" max="4605" width="8.3984375" style="116" customWidth="1"/>
    <col min="4606" max="4606" width="4.5" style="116" customWidth="1"/>
    <col min="4607" max="4607" width="8.19921875" style="116" customWidth="1"/>
    <col min="4608" max="4608" width="3.69921875" style="116" customWidth="1"/>
    <col min="4609" max="4609" width="7.69921875" style="116" customWidth="1"/>
    <col min="4610" max="4610" width="3.69921875" style="116" customWidth="1"/>
    <col min="4611" max="4611" width="7.69921875" style="116" customWidth="1"/>
    <col min="4612" max="4612" width="3.69921875" style="116" customWidth="1"/>
    <col min="4613" max="4613" width="7.69921875" style="116" customWidth="1"/>
    <col min="4614" max="4614" width="3.69921875" style="116" customWidth="1"/>
    <col min="4615" max="4615" width="6.19921875" style="116" customWidth="1"/>
    <col min="4616" max="4616" width="9" style="116"/>
    <col min="4617" max="4617" width="12.59765625" style="116" customWidth="1"/>
    <col min="4618" max="4618" width="19.09765625" style="116" customWidth="1"/>
    <col min="4619" max="4619" width="4.69921875" style="116" customWidth="1"/>
    <col min="4620" max="4620" width="9.8984375" style="116" customWidth="1"/>
    <col min="4621" max="4621" width="11.3984375" style="116" customWidth="1"/>
    <col min="4622" max="4622" width="5.8984375" style="116" customWidth="1"/>
    <col min="4623" max="4624" width="9" style="116"/>
    <col min="4625" max="4625" width="6.09765625" style="116" customWidth="1"/>
    <col min="4626" max="4626" width="19.5" style="116" customWidth="1"/>
    <col min="4627" max="4857" width="9" style="116"/>
    <col min="4858" max="4858" width="6.8984375" style="116" customWidth="1"/>
    <col min="4859" max="4859" width="7.5" style="116" customWidth="1"/>
    <col min="4860" max="4860" width="6.69921875" style="116" customWidth="1"/>
    <col min="4861" max="4861" width="8.3984375" style="116" customWidth="1"/>
    <col min="4862" max="4862" width="4.5" style="116" customWidth="1"/>
    <col min="4863" max="4863" width="8.19921875" style="116" customWidth="1"/>
    <col min="4864" max="4864" width="3.69921875" style="116" customWidth="1"/>
    <col min="4865" max="4865" width="7.69921875" style="116" customWidth="1"/>
    <col min="4866" max="4866" width="3.69921875" style="116" customWidth="1"/>
    <col min="4867" max="4867" width="7.69921875" style="116" customWidth="1"/>
    <col min="4868" max="4868" width="3.69921875" style="116" customWidth="1"/>
    <col min="4869" max="4869" width="7.69921875" style="116" customWidth="1"/>
    <col min="4870" max="4870" width="3.69921875" style="116" customWidth="1"/>
    <col min="4871" max="4871" width="6.19921875" style="116" customWidth="1"/>
    <col min="4872" max="4872" width="9" style="116"/>
    <col min="4873" max="4873" width="12.59765625" style="116" customWidth="1"/>
    <col min="4874" max="4874" width="19.09765625" style="116" customWidth="1"/>
    <col min="4875" max="4875" width="4.69921875" style="116" customWidth="1"/>
    <col min="4876" max="4876" width="9.8984375" style="116" customWidth="1"/>
    <col min="4877" max="4877" width="11.3984375" style="116" customWidth="1"/>
    <col min="4878" max="4878" width="5.8984375" style="116" customWidth="1"/>
    <col min="4879" max="4880" width="9" style="116"/>
    <col min="4881" max="4881" width="6.09765625" style="116" customWidth="1"/>
    <col min="4882" max="4882" width="19.5" style="116" customWidth="1"/>
    <col min="4883" max="5113" width="9" style="116"/>
    <col min="5114" max="5114" width="6.8984375" style="116" customWidth="1"/>
    <col min="5115" max="5115" width="7.5" style="116" customWidth="1"/>
    <col min="5116" max="5116" width="6.69921875" style="116" customWidth="1"/>
    <col min="5117" max="5117" width="8.3984375" style="116" customWidth="1"/>
    <col min="5118" max="5118" width="4.5" style="116" customWidth="1"/>
    <col min="5119" max="5119" width="8.19921875" style="116" customWidth="1"/>
    <col min="5120" max="5120" width="3.69921875" style="116" customWidth="1"/>
    <col min="5121" max="5121" width="7.69921875" style="116" customWidth="1"/>
    <col min="5122" max="5122" width="3.69921875" style="116" customWidth="1"/>
    <col min="5123" max="5123" width="7.69921875" style="116" customWidth="1"/>
    <col min="5124" max="5124" width="3.69921875" style="116" customWidth="1"/>
    <col min="5125" max="5125" width="7.69921875" style="116" customWidth="1"/>
    <col min="5126" max="5126" width="3.69921875" style="116" customWidth="1"/>
    <col min="5127" max="5127" width="6.19921875" style="116" customWidth="1"/>
    <col min="5128" max="5128" width="9" style="116"/>
    <col min="5129" max="5129" width="12.59765625" style="116" customWidth="1"/>
    <col min="5130" max="5130" width="19.09765625" style="116" customWidth="1"/>
    <col min="5131" max="5131" width="4.69921875" style="116" customWidth="1"/>
    <col min="5132" max="5132" width="9.8984375" style="116" customWidth="1"/>
    <col min="5133" max="5133" width="11.3984375" style="116" customWidth="1"/>
    <col min="5134" max="5134" width="5.8984375" style="116" customWidth="1"/>
    <col min="5135" max="5136" width="9" style="116"/>
    <col min="5137" max="5137" width="6.09765625" style="116" customWidth="1"/>
    <col min="5138" max="5138" width="19.5" style="116" customWidth="1"/>
    <col min="5139" max="5369" width="9" style="116"/>
    <col min="5370" max="5370" width="6.8984375" style="116" customWidth="1"/>
    <col min="5371" max="5371" width="7.5" style="116" customWidth="1"/>
    <col min="5372" max="5372" width="6.69921875" style="116" customWidth="1"/>
    <col min="5373" max="5373" width="8.3984375" style="116" customWidth="1"/>
    <col min="5374" max="5374" width="4.5" style="116" customWidth="1"/>
    <col min="5375" max="5375" width="8.19921875" style="116" customWidth="1"/>
    <col min="5376" max="5376" width="3.69921875" style="116" customWidth="1"/>
    <col min="5377" max="5377" width="7.69921875" style="116" customWidth="1"/>
    <col min="5378" max="5378" width="3.69921875" style="116" customWidth="1"/>
    <col min="5379" max="5379" width="7.69921875" style="116" customWidth="1"/>
    <col min="5380" max="5380" width="3.69921875" style="116" customWidth="1"/>
    <col min="5381" max="5381" width="7.69921875" style="116" customWidth="1"/>
    <col min="5382" max="5382" width="3.69921875" style="116" customWidth="1"/>
    <col min="5383" max="5383" width="6.19921875" style="116" customWidth="1"/>
    <col min="5384" max="5384" width="9" style="116"/>
    <col min="5385" max="5385" width="12.59765625" style="116" customWidth="1"/>
    <col min="5386" max="5386" width="19.09765625" style="116" customWidth="1"/>
    <col min="5387" max="5387" width="4.69921875" style="116" customWidth="1"/>
    <col min="5388" max="5388" width="9.8984375" style="116" customWidth="1"/>
    <col min="5389" max="5389" width="11.3984375" style="116" customWidth="1"/>
    <col min="5390" max="5390" width="5.8984375" style="116" customWidth="1"/>
    <col min="5391" max="5392" width="9" style="116"/>
    <col min="5393" max="5393" width="6.09765625" style="116" customWidth="1"/>
    <col min="5394" max="5394" width="19.5" style="116" customWidth="1"/>
    <col min="5395" max="5625" width="9" style="116"/>
    <col min="5626" max="5626" width="6.8984375" style="116" customWidth="1"/>
    <col min="5627" max="5627" width="7.5" style="116" customWidth="1"/>
    <col min="5628" max="5628" width="6.69921875" style="116" customWidth="1"/>
    <col min="5629" max="5629" width="8.3984375" style="116" customWidth="1"/>
    <col min="5630" max="5630" width="4.5" style="116" customWidth="1"/>
    <col min="5631" max="5631" width="8.19921875" style="116" customWidth="1"/>
    <col min="5632" max="5632" width="3.69921875" style="116" customWidth="1"/>
    <col min="5633" max="5633" width="7.69921875" style="116" customWidth="1"/>
    <col min="5634" max="5634" width="3.69921875" style="116" customWidth="1"/>
    <col min="5635" max="5635" width="7.69921875" style="116" customWidth="1"/>
    <col min="5636" max="5636" width="3.69921875" style="116" customWidth="1"/>
    <col min="5637" max="5637" width="7.69921875" style="116" customWidth="1"/>
    <col min="5638" max="5638" width="3.69921875" style="116" customWidth="1"/>
    <col min="5639" max="5639" width="6.19921875" style="116" customWidth="1"/>
    <col min="5640" max="5640" width="9" style="116"/>
    <col min="5641" max="5641" width="12.59765625" style="116" customWidth="1"/>
    <col min="5642" max="5642" width="19.09765625" style="116" customWidth="1"/>
    <col min="5643" max="5643" width="4.69921875" style="116" customWidth="1"/>
    <col min="5644" max="5644" width="9.8984375" style="116" customWidth="1"/>
    <col min="5645" max="5645" width="11.3984375" style="116" customWidth="1"/>
    <col min="5646" max="5646" width="5.8984375" style="116" customWidth="1"/>
    <col min="5647" max="5648" width="9" style="116"/>
    <col min="5649" max="5649" width="6.09765625" style="116" customWidth="1"/>
    <col min="5650" max="5650" width="19.5" style="116" customWidth="1"/>
    <col min="5651" max="5881" width="9" style="116"/>
    <col min="5882" max="5882" width="6.8984375" style="116" customWidth="1"/>
    <col min="5883" max="5883" width="7.5" style="116" customWidth="1"/>
    <col min="5884" max="5884" width="6.69921875" style="116" customWidth="1"/>
    <col min="5885" max="5885" width="8.3984375" style="116" customWidth="1"/>
    <col min="5886" max="5886" width="4.5" style="116" customWidth="1"/>
    <col min="5887" max="5887" width="8.19921875" style="116" customWidth="1"/>
    <col min="5888" max="5888" width="3.69921875" style="116" customWidth="1"/>
    <col min="5889" max="5889" width="7.69921875" style="116" customWidth="1"/>
    <col min="5890" max="5890" width="3.69921875" style="116" customWidth="1"/>
    <col min="5891" max="5891" width="7.69921875" style="116" customWidth="1"/>
    <col min="5892" max="5892" width="3.69921875" style="116" customWidth="1"/>
    <col min="5893" max="5893" width="7.69921875" style="116" customWidth="1"/>
    <col min="5894" max="5894" width="3.69921875" style="116" customWidth="1"/>
    <col min="5895" max="5895" width="6.19921875" style="116" customWidth="1"/>
    <col min="5896" max="5896" width="9" style="116"/>
    <col min="5897" max="5897" width="12.59765625" style="116" customWidth="1"/>
    <col min="5898" max="5898" width="19.09765625" style="116" customWidth="1"/>
    <col min="5899" max="5899" width="4.69921875" style="116" customWidth="1"/>
    <col min="5900" max="5900" width="9.8984375" style="116" customWidth="1"/>
    <col min="5901" max="5901" width="11.3984375" style="116" customWidth="1"/>
    <col min="5902" max="5902" width="5.8984375" style="116" customWidth="1"/>
    <col min="5903" max="5904" width="9" style="116"/>
    <col min="5905" max="5905" width="6.09765625" style="116" customWidth="1"/>
    <col min="5906" max="5906" width="19.5" style="116" customWidth="1"/>
    <col min="5907" max="6137" width="9" style="116"/>
    <col min="6138" max="6138" width="6.8984375" style="116" customWidth="1"/>
    <col min="6139" max="6139" width="7.5" style="116" customWidth="1"/>
    <col min="6140" max="6140" width="6.69921875" style="116" customWidth="1"/>
    <col min="6141" max="6141" width="8.3984375" style="116" customWidth="1"/>
    <col min="6142" max="6142" width="4.5" style="116" customWidth="1"/>
    <col min="6143" max="6143" width="8.19921875" style="116" customWidth="1"/>
    <col min="6144" max="6144" width="3.69921875" style="116" customWidth="1"/>
    <col min="6145" max="6145" width="7.69921875" style="116" customWidth="1"/>
    <col min="6146" max="6146" width="3.69921875" style="116" customWidth="1"/>
    <col min="6147" max="6147" width="7.69921875" style="116" customWidth="1"/>
    <col min="6148" max="6148" width="3.69921875" style="116" customWidth="1"/>
    <col min="6149" max="6149" width="7.69921875" style="116" customWidth="1"/>
    <col min="6150" max="6150" width="3.69921875" style="116" customWidth="1"/>
    <col min="6151" max="6151" width="6.19921875" style="116" customWidth="1"/>
    <col min="6152" max="6152" width="9" style="116"/>
    <col min="6153" max="6153" width="12.59765625" style="116" customWidth="1"/>
    <col min="6154" max="6154" width="19.09765625" style="116" customWidth="1"/>
    <col min="6155" max="6155" width="4.69921875" style="116" customWidth="1"/>
    <col min="6156" max="6156" width="9.8984375" style="116" customWidth="1"/>
    <col min="6157" max="6157" width="11.3984375" style="116" customWidth="1"/>
    <col min="6158" max="6158" width="5.8984375" style="116" customWidth="1"/>
    <col min="6159" max="6160" width="9" style="116"/>
    <col min="6161" max="6161" width="6.09765625" style="116" customWidth="1"/>
    <col min="6162" max="6162" width="19.5" style="116" customWidth="1"/>
    <col min="6163" max="6393" width="9" style="116"/>
    <col min="6394" max="6394" width="6.8984375" style="116" customWidth="1"/>
    <col min="6395" max="6395" width="7.5" style="116" customWidth="1"/>
    <col min="6396" max="6396" width="6.69921875" style="116" customWidth="1"/>
    <col min="6397" max="6397" width="8.3984375" style="116" customWidth="1"/>
    <col min="6398" max="6398" width="4.5" style="116" customWidth="1"/>
    <col min="6399" max="6399" width="8.19921875" style="116" customWidth="1"/>
    <col min="6400" max="6400" width="3.69921875" style="116" customWidth="1"/>
    <col min="6401" max="6401" width="7.69921875" style="116" customWidth="1"/>
    <col min="6402" max="6402" width="3.69921875" style="116" customWidth="1"/>
    <col min="6403" max="6403" width="7.69921875" style="116" customWidth="1"/>
    <col min="6404" max="6404" width="3.69921875" style="116" customWidth="1"/>
    <col min="6405" max="6405" width="7.69921875" style="116" customWidth="1"/>
    <col min="6406" max="6406" width="3.69921875" style="116" customWidth="1"/>
    <col min="6407" max="6407" width="6.19921875" style="116" customWidth="1"/>
    <col min="6408" max="6408" width="9" style="116"/>
    <col min="6409" max="6409" width="12.59765625" style="116" customWidth="1"/>
    <col min="6410" max="6410" width="19.09765625" style="116" customWidth="1"/>
    <col min="6411" max="6411" width="4.69921875" style="116" customWidth="1"/>
    <col min="6412" max="6412" width="9.8984375" style="116" customWidth="1"/>
    <col min="6413" max="6413" width="11.3984375" style="116" customWidth="1"/>
    <col min="6414" max="6414" width="5.8984375" style="116" customWidth="1"/>
    <col min="6415" max="6416" width="9" style="116"/>
    <col min="6417" max="6417" width="6.09765625" style="116" customWidth="1"/>
    <col min="6418" max="6418" width="19.5" style="116" customWidth="1"/>
    <col min="6419" max="6649" width="9" style="116"/>
    <col min="6650" max="6650" width="6.8984375" style="116" customWidth="1"/>
    <col min="6651" max="6651" width="7.5" style="116" customWidth="1"/>
    <col min="6652" max="6652" width="6.69921875" style="116" customWidth="1"/>
    <col min="6653" max="6653" width="8.3984375" style="116" customWidth="1"/>
    <col min="6654" max="6654" width="4.5" style="116" customWidth="1"/>
    <col min="6655" max="6655" width="8.19921875" style="116" customWidth="1"/>
    <col min="6656" max="6656" width="3.69921875" style="116" customWidth="1"/>
    <col min="6657" max="6657" width="7.69921875" style="116" customWidth="1"/>
    <col min="6658" max="6658" width="3.69921875" style="116" customWidth="1"/>
    <col min="6659" max="6659" width="7.69921875" style="116" customWidth="1"/>
    <col min="6660" max="6660" width="3.69921875" style="116" customWidth="1"/>
    <col min="6661" max="6661" width="7.69921875" style="116" customWidth="1"/>
    <col min="6662" max="6662" width="3.69921875" style="116" customWidth="1"/>
    <col min="6663" max="6663" width="6.19921875" style="116" customWidth="1"/>
    <col min="6664" max="6664" width="9" style="116"/>
    <col min="6665" max="6665" width="12.59765625" style="116" customWidth="1"/>
    <col min="6666" max="6666" width="19.09765625" style="116" customWidth="1"/>
    <col min="6667" max="6667" width="4.69921875" style="116" customWidth="1"/>
    <col min="6668" max="6668" width="9.8984375" style="116" customWidth="1"/>
    <col min="6669" max="6669" width="11.3984375" style="116" customWidth="1"/>
    <col min="6670" max="6670" width="5.8984375" style="116" customWidth="1"/>
    <col min="6671" max="6672" width="9" style="116"/>
    <col min="6673" max="6673" width="6.09765625" style="116" customWidth="1"/>
    <col min="6674" max="6674" width="19.5" style="116" customWidth="1"/>
    <col min="6675" max="6905" width="9" style="116"/>
    <col min="6906" max="6906" width="6.8984375" style="116" customWidth="1"/>
    <col min="6907" max="6907" width="7.5" style="116" customWidth="1"/>
    <col min="6908" max="6908" width="6.69921875" style="116" customWidth="1"/>
    <col min="6909" max="6909" width="8.3984375" style="116" customWidth="1"/>
    <col min="6910" max="6910" width="4.5" style="116" customWidth="1"/>
    <col min="6911" max="6911" width="8.19921875" style="116" customWidth="1"/>
    <col min="6912" max="6912" width="3.69921875" style="116" customWidth="1"/>
    <col min="6913" max="6913" width="7.69921875" style="116" customWidth="1"/>
    <col min="6914" max="6914" width="3.69921875" style="116" customWidth="1"/>
    <col min="6915" max="6915" width="7.69921875" style="116" customWidth="1"/>
    <col min="6916" max="6916" width="3.69921875" style="116" customWidth="1"/>
    <col min="6917" max="6917" width="7.69921875" style="116" customWidth="1"/>
    <col min="6918" max="6918" width="3.69921875" style="116" customWidth="1"/>
    <col min="6919" max="6919" width="6.19921875" style="116" customWidth="1"/>
    <col min="6920" max="6920" width="9" style="116"/>
    <col min="6921" max="6921" width="12.59765625" style="116" customWidth="1"/>
    <col min="6922" max="6922" width="19.09765625" style="116" customWidth="1"/>
    <col min="6923" max="6923" width="4.69921875" style="116" customWidth="1"/>
    <col min="6924" max="6924" width="9.8984375" style="116" customWidth="1"/>
    <col min="6925" max="6925" width="11.3984375" style="116" customWidth="1"/>
    <col min="6926" max="6926" width="5.8984375" style="116" customWidth="1"/>
    <col min="6927" max="6928" width="9" style="116"/>
    <col min="6929" max="6929" width="6.09765625" style="116" customWidth="1"/>
    <col min="6930" max="6930" width="19.5" style="116" customWidth="1"/>
    <col min="6931" max="7161" width="9" style="116"/>
    <col min="7162" max="7162" width="6.8984375" style="116" customWidth="1"/>
    <col min="7163" max="7163" width="7.5" style="116" customWidth="1"/>
    <col min="7164" max="7164" width="6.69921875" style="116" customWidth="1"/>
    <col min="7165" max="7165" width="8.3984375" style="116" customWidth="1"/>
    <col min="7166" max="7166" width="4.5" style="116" customWidth="1"/>
    <col min="7167" max="7167" width="8.19921875" style="116" customWidth="1"/>
    <col min="7168" max="7168" width="3.69921875" style="116" customWidth="1"/>
    <col min="7169" max="7169" width="7.69921875" style="116" customWidth="1"/>
    <col min="7170" max="7170" width="3.69921875" style="116" customWidth="1"/>
    <col min="7171" max="7171" width="7.69921875" style="116" customWidth="1"/>
    <col min="7172" max="7172" width="3.69921875" style="116" customWidth="1"/>
    <col min="7173" max="7173" width="7.69921875" style="116" customWidth="1"/>
    <col min="7174" max="7174" width="3.69921875" style="116" customWidth="1"/>
    <col min="7175" max="7175" width="6.19921875" style="116" customWidth="1"/>
    <col min="7176" max="7176" width="9" style="116"/>
    <col min="7177" max="7177" width="12.59765625" style="116" customWidth="1"/>
    <col min="7178" max="7178" width="19.09765625" style="116" customWidth="1"/>
    <col min="7179" max="7179" width="4.69921875" style="116" customWidth="1"/>
    <col min="7180" max="7180" width="9.8984375" style="116" customWidth="1"/>
    <col min="7181" max="7181" width="11.3984375" style="116" customWidth="1"/>
    <col min="7182" max="7182" width="5.8984375" style="116" customWidth="1"/>
    <col min="7183" max="7184" width="9" style="116"/>
    <col min="7185" max="7185" width="6.09765625" style="116" customWidth="1"/>
    <col min="7186" max="7186" width="19.5" style="116" customWidth="1"/>
    <col min="7187" max="7417" width="9" style="116"/>
    <col min="7418" max="7418" width="6.8984375" style="116" customWidth="1"/>
    <col min="7419" max="7419" width="7.5" style="116" customWidth="1"/>
    <col min="7420" max="7420" width="6.69921875" style="116" customWidth="1"/>
    <col min="7421" max="7421" width="8.3984375" style="116" customWidth="1"/>
    <col min="7422" max="7422" width="4.5" style="116" customWidth="1"/>
    <col min="7423" max="7423" width="8.19921875" style="116" customWidth="1"/>
    <col min="7424" max="7424" width="3.69921875" style="116" customWidth="1"/>
    <col min="7425" max="7425" width="7.69921875" style="116" customWidth="1"/>
    <col min="7426" max="7426" width="3.69921875" style="116" customWidth="1"/>
    <col min="7427" max="7427" width="7.69921875" style="116" customWidth="1"/>
    <col min="7428" max="7428" width="3.69921875" style="116" customWidth="1"/>
    <col min="7429" max="7429" width="7.69921875" style="116" customWidth="1"/>
    <col min="7430" max="7430" width="3.69921875" style="116" customWidth="1"/>
    <col min="7431" max="7431" width="6.19921875" style="116" customWidth="1"/>
    <col min="7432" max="7432" width="9" style="116"/>
    <col min="7433" max="7433" width="12.59765625" style="116" customWidth="1"/>
    <col min="7434" max="7434" width="19.09765625" style="116" customWidth="1"/>
    <col min="7435" max="7435" width="4.69921875" style="116" customWidth="1"/>
    <col min="7436" max="7436" width="9.8984375" style="116" customWidth="1"/>
    <col min="7437" max="7437" width="11.3984375" style="116" customWidth="1"/>
    <col min="7438" max="7438" width="5.8984375" style="116" customWidth="1"/>
    <col min="7439" max="7440" width="9" style="116"/>
    <col min="7441" max="7441" width="6.09765625" style="116" customWidth="1"/>
    <col min="7442" max="7442" width="19.5" style="116" customWidth="1"/>
    <col min="7443" max="7673" width="9" style="116"/>
    <col min="7674" max="7674" width="6.8984375" style="116" customWidth="1"/>
    <col min="7675" max="7675" width="7.5" style="116" customWidth="1"/>
    <col min="7676" max="7676" width="6.69921875" style="116" customWidth="1"/>
    <col min="7677" max="7677" width="8.3984375" style="116" customWidth="1"/>
    <col min="7678" max="7678" width="4.5" style="116" customWidth="1"/>
    <col min="7679" max="7679" width="8.19921875" style="116" customWidth="1"/>
    <col min="7680" max="7680" width="3.69921875" style="116" customWidth="1"/>
    <col min="7681" max="7681" width="7.69921875" style="116" customWidth="1"/>
    <col min="7682" max="7682" width="3.69921875" style="116" customWidth="1"/>
    <col min="7683" max="7683" width="7.69921875" style="116" customWidth="1"/>
    <col min="7684" max="7684" width="3.69921875" style="116" customWidth="1"/>
    <col min="7685" max="7685" width="7.69921875" style="116" customWidth="1"/>
    <col min="7686" max="7686" width="3.69921875" style="116" customWidth="1"/>
    <col min="7687" max="7687" width="6.19921875" style="116" customWidth="1"/>
    <col min="7688" max="7688" width="9" style="116"/>
    <col min="7689" max="7689" width="12.59765625" style="116" customWidth="1"/>
    <col min="7690" max="7690" width="19.09765625" style="116" customWidth="1"/>
    <col min="7691" max="7691" width="4.69921875" style="116" customWidth="1"/>
    <col min="7692" max="7692" width="9.8984375" style="116" customWidth="1"/>
    <col min="7693" max="7693" width="11.3984375" style="116" customWidth="1"/>
    <col min="7694" max="7694" width="5.8984375" style="116" customWidth="1"/>
    <col min="7695" max="7696" width="9" style="116"/>
    <col min="7697" max="7697" width="6.09765625" style="116" customWidth="1"/>
    <col min="7698" max="7698" width="19.5" style="116" customWidth="1"/>
    <col min="7699" max="7929" width="9" style="116"/>
    <col min="7930" max="7930" width="6.8984375" style="116" customWidth="1"/>
    <col min="7931" max="7931" width="7.5" style="116" customWidth="1"/>
    <col min="7932" max="7932" width="6.69921875" style="116" customWidth="1"/>
    <col min="7933" max="7933" width="8.3984375" style="116" customWidth="1"/>
    <col min="7934" max="7934" width="4.5" style="116" customWidth="1"/>
    <col min="7935" max="7935" width="8.19921875" style="116" customWidth="1"/>
    <col min="7936" max="7936" width="3.69921875" style="116" customWidth="1"/>
    <col min="7937" max="7937" width="7.69921875" style="116" customWidth="1"/>
    <col min="7938" max="7938" width="3.69921875" style="116" customWidth="1"/>
    <col min="7939" max="7939" width="7.69921875" style="116" customWidth="1"/>
    <col min="7940" max="7940" width="3.69921875" style="116" customWidth="1"/>
    <col min="7941" max="7941" width="7.69921875" style="116" customWidth="1"/>
    <col min="7942" max="7942" width="3.69921875" style="116" customWidth="1"/>
    <col min="7943" max="7943" width="6.19921875" style="116" customWidth="1"/>
    <col min="7944" max="7944" width="9" style="116"/>
    <col min="7945" max="7945" width="12.59765625" style="116" customWidth="1"/>
    <col min="7946" max="7946" width="19.09765625" style="116" customWidth="1"/>
    <col min="7947" max="7947" width="4.69921875" style="116" customWidth="1"/>
    <col min="7948" max="7948" width="9.8984375" style="116" customWidth="1"/>
    <col min="7949" max="7949" width="11.3984375" style="116" customWidth="1"/>
    <col min="7950" max="7950" width="5.8984375" style="116" customWidth="1"/>
    <col min="7951" max="7952" width="9" style="116"/>
    <col min="7953" max="7953" width="6.09765625" style="116" customWidth="1"/>
    <col min="7954" max="7954" width="19.5" style="116" customWidth="1"/>
    <col min="7955" max="8185" width="9" style="116"/>
    <col min="8186" max="8186" width="6.8984375" style="116" customWidth="1"/>
    <col min="8187" max="8187" width="7.5" style="116" customWidth="1"/>
    <col min="8188" max="8188" width="6.69921875" style="116" customWidth="1"/>
    <col min="8189" max="8189" width="8.3984375" style="116" customWidth="1"/>
    <col min="8190" max="8190" width="4.5" style="116" customWidth="1"/>
    <col min="8191" max="8191" width="8.19921875" style="116" customWidth="1"/>
    <col min="8192" max="8192" width="3.69921875" style="116" customWidth="1"/>
    <col min="8193" max="8193" width="7.69921875" style="116" customWidth="1"/>
    <col min="8194" max="8194" width="3.69921875" style="116" customWidth="1"/>
    <col min="8195" max="8195" width="7.69921875" style="116" customWidth="1"/>
    <col min="8196" max="8196" width="3.69921875" style="116" customWidth="1"/>
    <col min="8197" max="8197" width="7.69921875" style="116" customWidth="1"/>
    <col min="8198" max="8198" width="3.69921875" style="116" customWidth="1"/>
    <col min="8199" max="8199" width="6.19921875" style="116" customWidth="1"/>
    <col min="8200" max="8200" width="9" style="116"/>
    <col min="8201" max="8201" width="12.59765625" style="116" customWidth="1"/>
    <col min="8202" max="8202" width="19.09765625" style="116" customWidth="1"/>
    <col min="8203" max="8203" width="4.69921875" style="116" customWidth="1"/>
    <col min="8204" max="8204" width="9.8984375" style="116" customWidth="1"/>
    <col min="8205" max="8205" width="11.3984375" style="116" customWidth="1"/>
    <col min="8206" max="8206" width="5.8984375" style="116" customWidth="1"/>
    <col min="8207" max="8208" width="9" style="116"/>
    <col min="8209" max="8209" width="6.09765625" style="116" customWidth="1"/>
    <col min="8210" max="8210" width="19.5" style="116" customWidth="1"/>
    <col min="8211" max="8441" width="9" style="116"/>
    <col min="8442" max="8442" width="6.8984375" style="116" customWidth="1"/>
    <col min="8443" max="8443" width="7.5" style="116" customWidth="1"/>
    <col min="8444" max="8444" width="6.69921875" style="116" customWidth="1"/>
    <col min="8445" max="8445" width="8.3984375" style="116" customWidth="1"/>
    <col min="8446" max="8446" width="4.5" style="116" customWidth="1"/>
    <col min="8447" max="8447" width="8.19921875" style="116" customWidth="1"/>
    <col min="8448" max="8448" width="3.69921875" style="116" customWidth="1"/>
    <col min="8449" max="8449" width="7.69921875" style="116" customWidth="1"/>
    <col min="8450" max="8450" width="3.69921875" style="116" customWidth="1"/>
    <col min="8451" max="8451" width="7.69921875" style="116" customWidth="1"/>
    <col min="8452" max="8452" width="3.69921875" style="116" customWidth="1"/>
    <col min="8453" max="8453" width="7.69921875" style="116" customWidth="1"/>
    <col min="8454" max="8454" width="3.69921875" style="116" customWidth="1"/>
    <col min="8455" max="8455" width="6.19921875" style="116" customWidth="1"/>
    <col min="8456" max="8456" width="9" style="116"/>
    <col min="8457" max="8457" width="12.59765625" style="116" customWidth="1"/>
    <col min="8458" max="8458" width="19.09765625" style="116" customWidth="1"/>
    <col min="8459" max="8459" width="4.69921875" style="116" customWidth="1"/>
    <col min="8460" max="8460" width="9.8984375" style="116" customWidth="1"/>
    <col min="8461" max="8461" width="11.3984375" style="116" customWidth="1"/>
    <col min="8462" max="8462" width="5.8984375" style="116" customWidth="1"/>
    <col min="8463" max="8464" width="9" style="116"/>
    <col min="8465" max="8465" width="6.09765625" style="116" customWidth="1"/>
    <col min="8466" max="8466" width="19.5" style="116" customWidth="1"/>
    <col min="8467" max="8697" width="9" style="116"/>
    <col min="8698" max="8698" width="6.8984375" style="116" customWidth="1"/>
    <col min="8699" max="8699" width="7.5" style="116" customWidth="1"/>
    <col min="8700" max="8700" width="6.69921875" style="116" customWidth="1"/>
    <col min="8701" max="8701" width="8.3984375" style="116" customWidth="1"/>
    <col min="8702" max="8702" width="4.5" style="116" customWidth="1"/>
    <col min="8703" max="8703" width="8.19921875" style="116" customWidth="1"/>
    <col min="8704" max="8704" width="3.69921875" style="116" customWidth="1"/>
    <col min="8705" max="8705" width="7.69921875" style="116" customWidth="1"/>
    <col min="8706" max="8706" width="3.69921875" style="116" customWidth="1"/>
    <col min="8707" max="8707" width="7.69921875" style="116" customWidth="1"/>
    <col min="8708" max="8708" width="3.69921875" style="116" customWidth="1"/>
    <col min="8709" max="8709" width="7.69921875" style="116" customWidth="1"/>
    <col min="8710" max="8710" width="3.69921875" style="116" customWidth="1"/>
    <col min="8711" max="8711" width="6.19921875" style="116" customWidth="1"/>
    <col min="8712" max="8712" width="9" style="116"/>
    <col min="8713" max="8713" width="12.59765625" style="116" customWidth="1"/>
    <col min="8714" max="8714" width="19.09765625" style="116" customWidth="1"/>
    <col min="8715" max="8715" width="4.69921875" style="116" customWidth="1"/>
    <col min="8716" max="8716" width="9.8984375" style="116" customWidth="1"/>
    <col min="8717" max="8717" width="11.3984375" style="116" customWidth="1"/>
    <col min="8718" max="8718" width="5.8984375" style="116" customWidth="1"/>
    <col min="8719" max="8720" width="9" style="116"/>
    <col min="8721" max="8721" width="6.09765625" style="116" customWidth="1"/>
    <col min="8722" max="8722" width="19.5" style="116" customWidth="1"/>
    <col min="8723" max="8953" width="9" style="116"/>
    <col min="8954" max="8954" width="6.8984375" style="116" customWidth="1"/>
    <col min="8955" max="8955" width="7.5" style="116" customWidth="1"/>
    <col min="8956" max="8956" width="6.69921875" style="116" customWidth="1"/>
    <col min="8957" max="8957" width="8.3984375" style="116" customWidth="1"/>
    <col min="8958" max="8958" width="4.5" style="116" customWidth="1"/>
    <col min="8959" max="8959" width="8.19921875" style="116" customWidth="1"/>
    <col min="8960" max="8960" width="3.69921875" style="116" customWidth="1"/>
    <col min="8961" max="8961" width="7.69921875" style="116" customWidth="1"/>
    <col min="8962" max="8962" width="3.69921875" style="116" customWidth="1"/>
    <col min="8963" max="8963" width="7.69921875" style="116" customWidth="1"/>
    <col min="8964" max="8964" width="3.69921875" style="116" customWidth="1"/>
    <col min="8965" max="8965" width="7.69921875" style="116" customWidth="1"/>
    <col min="8966" max="8966" width="3.69921875" style="116" customWidth="1"/>
    <col min="8967" max="8967" width="6.19921875" style="116" customWidth="1"/>
    <col min="8968" max="8968" width="9" style="116"/>
    <col min="8969" max="8969" width="12.59765625" style="116" customWidth="1"/>
    <col min="8970" max="8970" width="19.09765625" style="116" customWidth="1"/>
    <col min="8971" max="8971" width="4.69921875" style="116" customWidth="1"/>
    <col min="8972" max="8972" width="9.8984375" style="116" customWidth="1"/>
    <col min="8973" max="8973" width="11.3984375" style="116" customWidth="1"/>
    <col min="8974" max="8974" width="5.8984375" style="116" customWidth="1"/>
    <col min="8975" max="8976" width="9" style="116"/>
    <col min="8977" max="8977" width="6.09765625" style="116" customWidth="1"/>
    <col min="8978" max="8978" width="19.5" style="116" customWidth="1"/>
    <col min="8979" max="9209" width="9" style="116"/>
    <col min="9210" max="9210" width="6.8984375" style="116" customWidth="1"/>
    <col min="9211" max="9211" width="7.5" style="116" customWidth="1"/>
    <col min="9212" max="9212" width="6.69921875" style="116" customWidth="1"/>
    <col min="9213" max="9213" width="8.3984375" style="116" customWidth="1"/>
    <col min="9214" max="9214" width="4.5" style="116" customWidth="1"/>
    <col min="9215" max="9215" width="8.19921875" style="116" customWidth="1"/>
    <col min="9216" max="9216" width="3.69921875" style="116" customWidth="1"/>
    <col min="9217" max="9217" width="7.69921875" style="116" customWidth="1"/>
    <col min="9218" max="9218" width="3.69921875" style="116" customWidth="1"/>
    <col min="9219" max="9219" width="7.69921875" style="116" customWidth="1"/>
    <col min="9220" max="9220" width="3.69921875" style="116" customWidth="1"/>
    <col min="9221" max="9221" width="7.69921875" style="116" customWidth="1"/>
    <col min="9222" max="9222" width="3.69921875" style="116" customWidth="1"/>
    <col min="9223" max="9223" width="6.19921875" style="116" customWidth="1"/>
    <col min="9224" max="9224" width="9" style="116"/>
    <col min="9225" max="9225" width="12.59765625" style="116" customWidth="1"/>
    <col min="9226" max="9226" width="19.09765625" style="116" customWidth="1"/>
    <col min="9227" max="9227" width="4.69921875" style="116" customWidth="1"/>
    <col min="9228" max="9228" width="9.8984375" style="116" customWidth="1"/>
    <col min="9229" max="9229" width="11.3984375" style="116" customWidth="1"/>
    <col min="9230" max="9230" width="5.8984375" style="116" customWidth="1"/>
    <col min="9231" max="9232" width="9" style="116"/>
    <col min="9233" max="9233" width="6.09765625" style="116" customWidth="1"/>
    <col min="9234" max="9234" width="19.5" style="116" customWidth="1"/>
    <col min="9235" max="9465" width="9" style="116"/>
    <col min="9466" max="9466" width="6.8984375" style="116" customWidth="1"/>
    <col min="9467" max="9467" width="7.5" style="116" customWidth="1"/>
    <col min="9468" max="9468" width="6.69921875" style="116" customWidth="1"/>
    <col min="9469" max="9469" width="8.3984375" style="116" customWidth="1"/>
    <col min="9470" max="9470" width="4.5" style="116" customWidth="1"/>
    <col min="9471" max="9471" width="8.19921875" style="116" customWidth="1"/>
    <col min="9472" max="9472" width="3.69921875" style="116" customWidth="1"/>
    <col min="9473" max="9473" width="7.69921875" style="116" customWidth="1"/>
    <col min="9474" max="9474" width="3.69921875" style="116" customWidth="1"/>
    <col min="9475" max="9475" width="7.69921875" style="116" customWidth="1"/>
    <col min="9476" max="9476" width="3.69921875" style="116" customWidth="1"/>
    <col min="9477" max="9477" width="7.69921875" style="116" customWidth="1"/>
    <col min="9478" max="9478" width="3.69921875" style="116" customWidth="1"/>
    <col min="9479" max="9479" width="6.19921875" style="116" customWidth="1"/>
    <col min="9480" max="9480" width="9" style="116"/>
    <col min="9481" max="9481" width="12.59765625" style="116" customWidth="1"/>
    <col min="9482" max="9482" width="19.09765625" style="116" customWidth="1"/>
    <col min="9483" max="9483" width="4.69921875" style="116" customWidth="1"/>
    <col min="9484" max="9484" width="9.8984375" style="116" customWidth="1"/>
    <col min="9485" max="9485" width="11.3984375" style="116" customWidth="1"/>
    <col min="9486" max="9486" width="5.8984375" style="116" customWidth="1"/>
    <col min="9487" max="9488" width="9" style="116"/>
    <col min="9489" max="9489" width="6.09765625" style="116" customWidth="1"/>
    <col min="9490" max="9490" width="19.5" style="116" customWidth="1"/>
    <col min="9491" max="9721" width="9" style="116"/>
    <col min="9722" max="9722" width="6.8984375" style="116" customWidth="1"/>
    <col min="9723" max="9723" width="7.5" style="116" customWidth="1"/>
    <col min="9724" max="9724" width="6.69921875" style="116" customWidth="1"/>
    <col min="9725" max="9725" width="8.3984375" style="116" customWidth="1"/>
    <col min="9726" max="9726" width="4.5" style="116" customWidth="1"/>
    <col min="9727" max="9727" width="8.19921875" style="116" customWidth="1"/>
    <col min="9728" max="9728" width="3.69921875" style="116" customWidth="1"/>
    <col min="9729" max="9729" width="7.69921875" style="116" customWidth="1"/>
    <col min="9730" max="9730" width="3.69921875" style="116" customWidth="1"/>
    <col min="9731" max="9731" width="7.69921875" style="116" customWidth="1"/>
    <col min="9732" max="9732" width="3.69921875" style="116" customWidth="1"/>
    <col min="9733" max="9733" width="7.69921875" style="116" customWidth="1"/>
    <col min="9734" max="9734" width="3.69921875" style="116" customWidth="1"/>
    <col min="9735" max="9735" width="6.19921875" style="116" customWidth="1"/>
    <col min="9736" max="9736" width="9" style="116"/>
    <col min="9737" max="9737" width="12.59765625" style="116" customWidth="1"/>
    <col min="9738" max="9738" width="19.09765625" style="116" customWidth="1"/>
    <col min="9739" max="9739" width="4.69921875" style="116" customWidth="1"/>
    <col min="9740" max="9740" width="9.8984375" style="116" customWidth="1"/>
    <col min="9741" max="9741" width="11.3984375" style="116" customWidth="1"/>
    <col min="9742" max="9742" width="5.8984375" style="116" customWidth="1"/>
    <col min="9743" max="9744" width="9" style="116"/>
    <col min="9745" max="9745" width="6.09765625" style="116" customWidth="1"/>
    <col min="9746" max="9746" width="19.5" style="116" customWidth="1"/>
    <col min="9747" max="9977" width="9" style="116"/>
    <col min="9978" max="9978" width="6.8984375" style="116" customWidth="1"/>
    <col min="9979" max="9979" width="7.5" style="116" customWidth="1"/>
    <col min="9980" max="9980" width="6.69921875" style="116" customWidth="1"/>
    <col min="9981" max="9981" width="8.3984375" style="116" customWidth="1"/>
    <col min="9982" max="9982" width="4.5" style="116" customWidth="1"/>
    <col min="9983" max="9983" width="8.19921875" style="116" customWidth="1"/>
    <col min="9984" max="9984" width="3.69921875" style="116" customWidth="1"/>
    <col min="9985" max="9985" width="7.69921875" style="116" customWidth="1"/>
    <col min="9986" max="9986" width="3.69921875" style="116" customWidth="1"/>
    <col min="9987" max="9987" width="7.69921875" style="116" customWidth="1"/>
    <col min="9988" max="9988" width="3.69921875" style="116" customWidth="1"/>
    <col min="9989" max="9989" width="7.69921875" style="116" customWidth="1"/>
    <col min="9990" max="9990" width="3.69921875" style="116" customWidth="1"/>
    <col min="9991" max="9991" width="6.19921875" style="116" customWidth="1"/>
    <col min="9992" max="9992" width="9" style="116"/>
    <col min="9993" max="9993" width="12.59765625" style="116" customWidth="1"/>
    <col min="9994" max="9994" width="19.09765625" style="116" customWidth="1"/>
    <col min="9995" max="9995" width="4.69921875" style="116" customWidth="1"/>
    <col min="9996" max="9996" width="9.8984375" style="116" customWidth="1"/>
    <col min="9997" max="9997" width="11.3984375" style="116" customWidth="1"/>
    <col min="9998" max="9998" width="5.8984375" style="116" customWidth="1"/>
    <col min="9999" max="10000" width="9" style="116"/>
    <col min="10001" max="10001" width="6.09765625" style="116" customWidth="1"/>
    <col min="10002" max="10002" width="19.5" style="116" customWidth="1"/>
    <col min="10003" max="10233" width="9" style="116"/>
    <col min="10234" max="10234" width="6.8984375" style="116" customWidth="1"/>
    <col min="10235" max="10235" width="7.5" style="116" customWidth="1"/>
    <col min="10236" max="10236" width="6.69921875" style="116" customWidth="1"/>
    <col min="10237" max="10237" width="8.3984375" style="116" customWidth="1"/>
    <col min="10238" max="10238" width="4.5" style="116" customWidth="1"/>
    <col min="10239" max="10239" width="8.19921875" style="116" customWidth="1"/>
    <col min="10240" max="10240" width="3.69921875" style="116" customWidth="1"/>
    <col min="10241" max="10241" width="7.69921875" style="116" customWidth="1"/>
    <col min="10242" max="10242" width="3.69921875" style="116" customWidth="1"/>
    <col min="10243" max="10243" width="7.69921875" style="116" customWidth="1"/>
    <col min="10244" max="10244" width="3.69921875" style="116" customWidth="1"/>
    <col min="10245" max="10245" width="7.69921875" style="116" customWidth="1"/>
    <col min="10246" max="10246" width="3.69921875" style="116" customWidth="1"/>
    <col min="10247" max="10247" width="6.19921875" style="116" customWidth="1"/>
    <col min="10248" max="10248" width="9" style="116"/>
    <col min="10249" max="10249" width="12.59765625" style="116" customWidth="1"/>
    <col min="10250" max="10250" width="19.09765625" style="116" customWidth="1"/>
    <col min="10251" max="10251" width="4.69921875" style="116" customWidth="1"/>
    <col min="10252" max="10252" width="9.8984375" style="116" customWidth="1"/>
    <col min="10253" max="10253" width="11.3984375" style="116" customWidth="1"/>
    <col min="10254" max="10254" width="5.8984375" style="116" customWidth="1"/>
    <col min="10255" max="10256" width="9" style="116"/>
    <col min="10257" max="10257" width="6.09765625" style="116" customWidth="1"/>
    <col min="10258" max="10258" width="19.5" style="116" customWidth="1"/>
    <col min="10259" max="10489" width="9" style="116"/>
    <col min="10490" max="10490" width="6.8984375" style="116" customWidth="1"/>
    <col min="10491" max="10491" width="7.5" style="116" customWidth="1"/>
    <col min="10492" max="10492" width="6.69921875" style="116" customWidth="1"/>
    <col min="10493" max="10493" width="8.3984375" style="116" customWidth="1"/>
    <col min="10494" max="10494" width="4.5" style="116" customWidth="1"/>
    <col min="10495" max="10495" width="8.19921875" style="116" customWidth="1"/>
    <col min="10496" max="10496" width="3.69921875" style="116" customWidth="1"/>
    <col min="10497" max="10497" width="7.69921875" style="116" customWidth="1"/>
    <col min="10498" max="10498" width="3.69921875" style="116" customWidth="1"/>
    <col min="10499" max="10499" width="7.69921875" style="116" customWidth="1"/>
    <col min="10500" max="10500" width="3.69921875" style="116" customWidth="1"/>
    <col min="10501" max="10501" width="7.69921875" style="116" customWidth="1"/>
    <col min="10502" max="10502" width="3.69921875" style="116" customWidth="1"/>
    <col min="10503" max="10503" width="6.19921875" style="116" customWidth="1"/>
    <col min="10504" max="10504" width="9" style="116"/>
    <col min="10505" max="10505" width="12.59765625" style="116" customWidth="1"/>
    <col min="10506" max="10506" width="19.09765625" style="116" customWidth="1"/>
    <col min="10507" max="10507" width="4.69921875" style="116" customWidth="1"/>
    <col min="10508" max="10508" width="9.8984375" style="116" customWidth="1"/>
    <col min="10509" max="10509" width="11.3984375" style="116" customWidth="1"/>
    <col min="10510" max="10510" width="5.8984375" style="116" customWidth="1"/>
    <col min="10511" max="10512" width="9" style="116"/>
    <col min="10513" max="10513" width="6.09765625" style="116" customWidth="1"/>
    <col min="10514" max="10514" width="19.5" style="116" customWidth="1"/>
    <col min="10515" max="10745" width="9" style="116"/>
    <col min="10746" max="10746" width="6.8984375" style="116" customWidth="1"/>
    <col min="10747" max="10747" width="7.5" style="116" customWidth="1"/>
    <col min="10748" max="10748" width="6.69921875" style="116" customWidth="1"/>
    <col min="10749" max="10749" width="8.3984375" style="116" customWidth="1"/>
    <col min="10750" max="10750" width="4.5" style="116" customWidth="1"/>
    <col min="10751" max="10751" width="8.19921875" style="116" customWidth="1"/>
    <col min="10752" max="10752" width="3.69921875" style="116" customWidth="1"/>
    <col min="10753" max="10753" width="7.69921875" style="116" customWidth="1"/>
    <col min="10754" max="10754" width="3.69921875" style="116" customWidth="1"/>
    <col min="10755" max="10755" width="7.69921875" style="116" customWidth="1"/>
    <col min="10756" max="10756" width="3.69921875" style="116" customWidth="1"/>
    <col min="10757" max="10757" width="7.69921875" style="116" customWidth="1"/>
    <col min="10758" max="10758" width="3.69921875" style="116" customWidth="1"/>
    <col min="10759" max="10759" width="6.19921875" style="116" customWidth="1"/>
    <col min="10760" max="10760" width="9" style="116"/>
    <col min="10761" max="10761" width="12.59765625" style="116" customWidth="1"/>
    <col min="10762" max="10762" width="19.09765625" style="116" customWidth="1"/>
    <col min="10763" max="10763" width="4.69921875" style="116" customWidth="1"/>
    <col min="10764" max="10764" width="9.8984375" style="116" customWidth="1"/>
    <col min="10765" max="10765" width="11.3984375" style="116" customWidth="1"/>
    <col min="10766" max="10766" width="5.8984375" style="116" customWidth="1"/>
    <col min="10767" max="10768" width="9" style="116"/>
    <col min="10769" max="10769" width="6.09765625" style="116" customWidth="1"/>
    <col min="10770" max="10770" width="19.5" style="116" customWidth="1"/>
    <col min="10771" max="11001" width="9" style="116"/>
    <col min="11002" max="11002" width="6.8984375" style="116" customWidth="1"/>
    <col min="11003" max="11003" width="7.5" style="116" customWidth="1"/>
    <col min="11004" max="11004" width="6.69921875" style="116" customWidth="1"/>
    <col min="11005" max="11005" width="8.3984375" style="116" customWidth="1"/>
    <col min="11006" max="11006" width="4.5" style="116" customWidth="1"/>
    <col min="11007" max="11007" width="8.19921875" style="116" customWidth="1"/>
    <col min="11008" max="11008" width="3.69921875" style="116" customWidth="1"/>
    <col min="11009" max="11009" width="7.69921875" style="116" customWidth="1"/>
    <col min="11010" max="11010" width="3.69921875" style="116" customWidth="1"/>
    <col min="11011" max="11011" width="7.69921875" style="116" customWidth="1"/>
    <col min="11012" max="11012" width="3.69921875" style="116" customWidth="1"/>
    <col min="11013" max="11013" width="7.69921875" style="116" customWidth="1"/>
    <col min="11014" max="11014" width="3.69921875" style="116" customWidth="1"/>
    <col min="11015" max="11015" width="6.19921875" style="116" customWidth="1"/>
    <col min="11016" max="11016" width="9" style="116"/>
    <col min="11017" max="11017" width="12.59765625" style="116" customWidth="1"/>
    <col min="11018" max="11018" width="19.09765625" style="116" customWidth="1"/>
    <col min="11019" max="11019" width="4.69921875" style="116" customWidth="1"/>
    <col min="11020" max="11020" width="9.8984375" style="116" customWidth="1"/>
    <col min="11021" max="11021" width="11.3984375" style="116" customWidth="1"/>
    <col min="11022" max="11022" width="5.8984375" style="116" customWidth="1"/>
    <col min="11023" max="11024" width="9" style="116"/>
    <col min="11025" max="11025" width="6.09765625" style="116" customWidth="1"/>
    <col min="11026" max="11026" width="19.5" style="116" customWidth="1"/>
    <col min="11027" max="11257" width="9" style="116"/>
    <col min="11258" max="11258" width="6.8984375" style="116" customWidth="1"/>
    <col min="11259" max="11259" width="7.5" style="116" customWidth="1"/>
    <col min="11260" max="11260" width="6.69921875" style="116" customWidth="1"/>
    <col min="11261" max="11261" width="8.3984375" style="116" customWidth="1"/>
    <col min="11262" max="11262" width="4.5" style="116" customWidth="1"/>
    <col min="11263" max="11263" width="8.19921875" style="116" customWidth="1"/>
    <col min="11264" max="11264" width="3.69921875" style="116" customWidth="1"/>
    <col min="11265" max="11265" width="7.69921875" style="116" customWidth="1"/>
    <col min="11266" max="11266" width="3.69921875" style="116" customWidth="1"/>
    <col min="11267" max="11267" width="7.69921875" style="116" customWidth="1"/>
    <col min="11268" max="11268" width="3.69921875" style="116" customWidth="1"/>
    <col min="11269" max="11269" width="7.69921875" style="116" customWidth="1"/>
    <col min="11270" max="11270" width="3.69921875" style="116" customWidth="1"/>
    <col min="11271" max="11271" width="6.19921875" style="116" customWidth="1"/>
    <col min="11272" max="11272" width="9" style="116"/>
    <col min="11273" max="11273" width="12.59765625" style="116" customWidth="1"/>
    <col min="11274" max="11274" width="19.09765625" style="116" customWidth="1"/>
    <col min="11275" max="11275" width="4.69921875" style="116" customWidth="1"/>
    <col min="11276" max="11276" width="9.8984375" style="116" customWidth="1"/>
    <col min="11277" max="11277" width="11.3984375" style="116" customWidth="1"/>
    <col min="11278" max="11278" width="5.8984375" style="116" customWidth="1"/>
    <col min="11279" max="11280" width="9" style="116"/>
    <col min="11281" max="11281" width="6.09765625" style="116" customWidth="1"/>
    <col min="11282" max="11282" width="19.5" style="116" customWidth="1"/>
    <col min="11283" max="11513" width="9" style="116"/>
    <col min="11514" max="11514" width="6.8984375" style="116" customWidth="1"/>
    <col min="11515" max="11515" width="7.5" style="116" customWidth="1"/>
    <col min="11516" max="11516" width="6.69921875" style="116" customWidth="1"/>
    <col min="11517" max="11517" width="8.3984375" style="116" customWidth="1"/>
    <col min="11518" max="11518" width="4.5" style="116" customWidth="1"/>
    <col min="11519" max="11519" width="8.19921875" style="116" customWidth="1"/>
    <col min="11520" max="11520" width="3.69921875" style="116" customWidth="1"/>
    <col min="11521" max="11521" width="7.69921875" style="116" customWidth="1"/>
    <col min="11522" max="11522" width="3.69921875" style="116" customWidth="1"/>
    <col min="11523" max="11523" width="7.69921875" style="116" customWidth="1"/>
    <col min="11524" max="11524" width="3.69921875" style="116" customWidth="1"/>
    <col min="11525" max="11525" width="7.69921875" style="116" customWidth="1"/>
    <col min="11526" max="11526" width="3.69921875" style="116" customWidth="1"/>
    <col min="11527" max="11527" width="6.19921875" style="116" customWidth="1"/>
    <col min="11528" max="11528" width="9" style="116"/>
    <col min="11529" max="11529" width="12.59765625" style="116" customWidth="1"/>
    <col min="11530" max="11530" width="19.09765625" style="116" customWidth="1"/>
    <col min="11531" max="11531" width="4.69921875" style="116" customWidth="1"/>
    <col min="11532" max="11532" width="9.8984375" style="116" customWidth="1"/>
    <col min="11533" max="11533" width="11.3984375" style="116" customWidth="1"/>
    <col min="11534" max="11534" width="5.8984375" style="116" customWidth="1"/>
    <col min="11535" max="11536" width="9" style="116"/>
    <col min="11537" max="11537" width="6.09765625" style="116" customWidth="1"/>
    <col min="11538" max="11538" width="19.5" style="116" customWidth="1"/>
    <col min="11539" max="11769" width="9" style="116"/>
    <col min="11770" max="11770" width="6.8984375" style="116" customWidth="1"/>
    <col min="11771" max="11771" width="7.5" style="116" customWidth="1"/>
    <col min="11772" max="11772" width="6.69921875" style="116" customWidth="1"/>
    <col min="11773" max="11773" width="8.3984375" style="116" customWidth="1"/>
    <col min="11774" max="11774" width="4.5" style="116" customWidth="1"/>
    <col min="11775" max="11775" width="8.19921875" style="116" customWidth="1"/>
    <col min="11776" max="11776" width="3.69921875" style="116" customWidth="1"/>
    <col min="11777" max="11777" width="7.69921875" style="116" customWidth="1"/>
    <col min="11778" max="11778" width="3.69921875" style="116" customWidth="1"/>
    <col min="11779" max="11779" width="7.69921875" style="116" customWidth="1"/>
    <col min="11780" max="11780" width="3.69921875" style="116" customWidth="1"/>
    <col min="11781" max="11781" width="7.69921875" style="116" customWidth="1"/>
    <col min="11782" max="11782" width="3.69921875" style="116" customWidth="1"/>
    <col min="11783" max="11783" width="6.19921875" style="116" customWidth="1"/>
    <col min="11784" max="11784" width="9" style="116"/>
    <col min="11785" max="11785" width="12.59765625" style="116" customWidth="1"/>
    <col min="11786" max="11786" width="19.09765625" style="116" customWidth="1"/>
    <col min="11787" max="11787" width="4.69921875" style="116" customWidth="1"/>
    <col min="11788" max="11788" width="9.8984375" style="116" customWidth="1"/>
    <col min="11789" max="11789" width="11.3984375" style="116" customWidth="1"/>
    <col min="11790" max="11790" width="5.8984375" style="116" customWidth="1"/>
    <col min="11791" max="11792" width="9" style="116"/>
    <col min="11793" max="11793" width="6.09765625" style="116" customWidth="1"/>
    <col min="11794" max="11794" width="19.5" style="116" customWidth="1"/>
    <col min="11795" max="12025" width="9" style="116"/>
    <col min="12026" max="12026" width="6.8984375" style="116" customWidth="1"/>
    <col min="12027" max="12027" width="7.5" style="116" customWidth="1"/>
    <col min="12028" max="12028" width="6.69921875" style="116" customWidth="1"/>
    <col min="12029" max="12029" width="8.3984375" style="116" customWidth="1"/>
    <col min="12030" max="12030" width="4.5" style="116" customWidth="1"/>
    <col min="12031" max="12031" width="8.19921875" style="116" customWidth="1"/>
    <col min="12032" max="12032" width="3.69921875" style="116" customWidth="1"/>
    <col min="12033" max="12033" width="7.69921875" style="116" customWidth="1"/>
    <col min="12034" max="12034" width="3.69921875" style="116" customWidth="1"/>
    <col min="12035" max="12035" width="7.69921875" style="116" customWidth="1"/>
    <col min="12036" max="12036" width="3.69921875" style="116" customWidth="1"/>
    <col min="12037" max="12037" width="7.69921875" style="116" customWidth="1"/>
    <col min="12038" max="12038" width="3.69921875" style="116" customWidth="1"/>
    <col min="12039" max="12039" width="6.19921875" style="116" customWidth="1"/>
    <col min="12040" max="12040" width="9" style="116"/>
    <col min="12041" max="12041" width="12.59765625" style="116" customWidth="1"/>
    <col min="12042" max="12042" width="19.09765625" style="116" customWidth="1"/>
    <col min="12043" max="12043" width="4.69921875" style="116" customWidth="1"/>
    <col min="12044" max="12044" width="9.8984375" style="116" customWidth="1"/>
    <col min="12045" max="12045" width="11.3984375" style="116" customWidth="1"/>
    <col min="12046" max="12046" width="5.8984375" style="116" customWidth="1"/>
    <col min="12047" max="12048" width="9" style="116"/>
    <col min="12049" max="12049" width="6.09765625" style="116" customWidth="1"/>
    <col min="12050" max="12050" width="19.5" style="116" customWidth="1"/>
    <col min="12051" max="12281" width="9" style="116"/>
    <col min="12282" max="12282" width="6.8984375" style="116" customWidth="1"/>
    <col min="12283" max="12283" width="7.5" style="116" customWidth="1"/>
    <col min="12284" max="12284" width="6.69921875" style="116" customWidth="1"/>
    <col min="12285" max="12285" width="8.3984375" style="116" customWidth="1"/>
    <col min="12286" max="12286" width="4.5" style="116" customWidth="1"/>
    <col min="12287" max="12287" width="8.19921875" style="116" customWidth="1"/>
    <col min="12288" max="12288" width="3.69921875" style="116" customWidth="1"/>
    <col min="12289" max="12289" width="7.69921875" style="116" customWidth="1"/>
    <col min="12290" max="12290" width="3.69921875" style="116" customWidth="1"/>
    <col min="12291" max="12291" width="7.69921875" style="116" customWidth="1"/>
    <col min="12292" max="12292" width="3.69921875" style="116" customWidth="1"/>
    <col min="12293" max="12293" width="7.69921875" style="116" customWidth="1"/>
    <col min="12294" max="12294" width="3.69921875" style="116" customWidth="1"/>
    <col min="12295" max="12295" width="6.19921875" style="116" customWidth="1"/>
    <col min="12296" max="12296" width="9" style="116"/>
    <col min="12297" max="12297" width="12.59765625" style="116" customWidth="1"/>
    <col min="12298" max="12298" width="19.09765625" style="116" customWidth="1"/>
    <col min="12299" max="12299" width="4.69921875" style="116" customWidth="1"/>
    <col min="12300" max="12300" width="9.8984375" style="116" customWidth="1"/>
    <col min="12301" max="12301" width="11.3984375" style="116" customWidth="1"/>
    <col min="12302" max="12302" width="5.8984375" style="116" customWidth="1"/>
    <col min="12303" max="12304" width="9" style="116"/>
    <col min="12305" max="12305" width="6.09765625" style="116" customWidth="1"/>
    <col min="12306" max="12306" width="19.5" style="116" customWidth="1"/>
    <col min="12307" max="12537" width="9" style="116"/>
    <col min="12538" max="12538" width="6.8984375" style="116" customWidth="1"/>
    <col min="12539" max="12539" width="7.5" style="116" customWidth="1"/>
    <col min="12540" max="12540" width="6.69921875" style="116" customWidth="1"/>
    <col min="12541" max="12541" width="8.3984375" style="116" customWidth="1"/>
    <col min="12542" max="12542" width="4.5" style="116" customWidth="1"/>
    <col min="12543" max="12543" width="8.19921875" style="116" customWidth="1"/>
    <col min="12544" max="12544" width="3.69921875" style="116" customWidth="1"/>
    <col min="12545" max="12545" width="7.69921875" style="116" customWidth="1"/>
    <col min="12546" max="12546" width="3.69921875" style="116" customWidth="1"/>
    <col min="12547" max="12547" width="7.69921875" style="116" customWidth="1"/>
    <col min="12548" max="12548" width="3.69921875" style="116" customWidth="1"/>
    <col min="12549" max="12549" width="7.69921875" style="116" customWidth="1"/>
    <col min="12550" max="12550" width="3.69921875" style="116" customWidth="1"/>
    <col min="12551" max="12551" width="6.19921875" style="116" customWidth="1"/>
    <col min="12552" max="12552" width="9" style="116"/>
    <col min="12553" max="12553" width="12.59765625" style="116" customWidth="1"/>
    <col min="12554" max="12554" width="19.09765625" style="116" customWidth="1"/>
    <col min="12555" max="12555" width="4.69921875" style="116" customWidth="1"/>
    <col min="12556" max="12556" width="9.8984375" style="116" customWidth="1"/>
    <col min="12557" max="12557" width="11.3984375" style="116" customWidth="1"/>
    <col min="12558" max="12558" width="5.8984375" style="116" customWidth="1"/>
    <col min="12559" max="12560" width="9" style="116"/>
    <col min="12561" max="12561" width="6.09765625" style="116" customWidth="1"/>
    <col min="12562" max="12562" width="19.5" style="116" customWidth="1"/>
    <col min="12563" max="12793" width="9" style="116"/>
    <col min="12794" max="12794" width="6.8984375" style="116" customWidth="1"/>
    <col min="12795" max="12795" width="7.5" style="116" customWidth="1"/>
    <col min="12796" max="12796" width="6.69921875" style="116" customWidth="1"/>
    <col min="12797" max="12797" width="8.3984375" style="116" customWidth="1"/>
    <col min="12798" max="12798" width="4.5" style="116" customWidth="1"/>
    <col min="12799" max="12799" width="8.19921875" style="116" customWidth="1"/>
    <col min="12800" max="12800" width="3.69921875" style="116" customWidth="1"/>
    <col min="12801" max="12801" width="7.69921875" style="116" customWidth="1"/>
    <col min="12802" max="12802" width="3.69921875" style="116" customWidth="1"/>
    <col min="12803" max="12803" width="7.69921875" style="116" customWidth="1"/>
    <col min="12804" max="12804" width="3.69921875" style="116" customWidth="1"/>
    <col min="12805" max="12805" width="7.69921875" style="116" customWidth="1"/>
    <col min="12806" max="12806" width="3.69921875" style="116" customWidth="1"/>
    <col min="12807" max="12807" width="6.19921875" style="116" customWidth="1"/>
    <col min="12808" max="12808" width="9" style="116"/>
    <col min="12809" max="12809" width="12.59765625" style="116" customWidth="1"/>
    <col min="12810" max="12810" width="19.09765625" style="116" customWidth="1"/>
    <col min="12811" max="12811" width="4.69921875" style="116" customWidth="1"/>
    <col min="12812" max="12812" width="9.8984375" style="116" customWidth="1"/>
    <col min="12813" max="12813" width="11.3984375" style="116" customWidth="1"/>
    <col min="12814" max="12814" width="5.8984375" style="116" customWidth="1"/>
    <col min="12815" max="12816" width="9" style="116"/>
    <col min="12817" max="12817" width="6.09765625" style="116" customWidth="1"/>
    <col min="12818" max="12818" width="19.5" style="116" customWidth="1"/>
    <col min="12819" max="13049" width="9" style="116"/>
    <col min="13050" max="13050" width="6.8984375" style="116" customWidth="1"/>
    <col min="13051" max="13051" width="7.5" style="116" customWidth="1"/>
    <col min="13052" max="13052" width="6.69921875" style="116" customWidth="1"/>
    <col min="13053" max="13053" width="8.3984375" style="116" customWidth="1"/>
    <col min="13054" max="13054" width="4.5" style="116" customWidth="1"/>
    <col min="13055" max="13055" width="8.19921875" style="116" customWidth="1"/>
    <col min="13056" max="13056" width="3.69921875" style="116" customWidth="1"/>
    <col min="13057" max="13057" width="7.69921875" style="116" customWidth="1"/>
    <col min="13058" max="13058" width="3.69921875" style="116" customWidth="1"/>
    <col min="13059" max="13059" width="7.69921875" style="116" customWidth="1"/>
    <col min="13060" max="13060" width="3.69921875" style="116" customWidth="1"/>
    <col min="13061" max="13061" width="7.69921875" style="116" customWidth="1"/>
    <col min="13062" max="13062" width="3.69921875" style="116" customWidth="1"/>
    <col min="13063" max="13063" width="6.19921875" style="116" customWidth="1"/>
    <col min="13064" max="13064" width="9" style="116"/>
    <col min="13065" max="13065" width="12.59765625" style="116" customWidth="1"/>
    <col min="13066" max="13066" width="19.09765625" style="116" customWidth="1"/>
    <col min="13067" max="13067" width="4.69921875" style="116" customWidth="1"/>
    <col min="13068" max="13068" width="9.8984375" style="116" customWidth="1"/>
    <col min="13069" max="13069" width="11.3984375" style="116" customWidth="1"/>
    <col min="13070" max="13070" width="5.8984375" style="116" customWidth="1"/>
    <col min="13071" max="13072" width="9" style="116"/>
    <col min="13073" max="13073" width="6.09765625" style="116" customWidth="1"/>
    <col min="13074" max="13074" width="19.5" style="116" customWidth="1"/>
    <col min="13075" max="13305" width="9" style="116"/>
    <col min="13306" max="13306" width="6.8984375" style="116" customWidth="1"/>
    <col min="13307" max="13307" width="7.5" style="116" customWidth="1"/>
    <col min="13308" max="13308" width="6.69921875" style="116" customWidth="1"/>
    <col min="13309" max="13309" width="8.3984375" style="116" customWidth="1"/>
    <col min="13310" max="13310" width="4.5" style="116" customWidth="1"/>
    <col min="13311" max="13311" width="8.19921875" style="116" customWidth="1"/>
    <col min="13312" max="13312" width="3.69921875" style="116" customWidth="1"/>
    <col min="13313" max="13313" width="7.69921875" style="116" customWidth="1"/>
    <col min="13314" max="13314" width="3.69921875" style="116" customWidth="1"/>
    <col min="13315" max="13315" width="7.69921875" style="116" customWidth="1"/>
    <col min="13316" max="13316" width="3.69921875" style="116" customWidth="1"/>
    <col min="13317" max="13317" width="7.69921875" style="116" customWidth="1"/>
    <col min="13318" max="13318" width="3.69921875" style="116" customWidth="1"/>
    <col min="13319" max="13319" width="6.19921875" style="116" customWidth="1"/>
    <col min="13320" max="13320" width="9" style="116"/>
    <col min="13321" max="13321" width="12.59765625" style="116" customWidth="1"/>
    <col min="13322" max="13322" width="19.09765625" style="116" customWidth="1"/>
    <col min="13323" max="13323" width="4.69921875" style="116" customWidth="1"/>
    <col min="13324" max="13324" width="9.8984375" style="116" customWidth="1"/>
    <col min="13325" max="13325" width="11.3984375" style="116" customWidth="1"/>
    <col min="13326" max="13326" width="5.8984375" style="116" customWidth="1"/>
    <col min="13327" max="13328" width="9" style="116"/>
    <col min="13329" max="13329" width="6.09765625" style="116" customWidth="1"/>
    <col min="13330" max="13330" width="19.5" style="116" customWidth="1"/>
    <col min="13331" max="13561" width="9" style="116"/>
    <col min="13562" max="13562" width="6.8984375" style="116" customWidth="1"/>
    <col min="13563" max="13563" width="7.5" style="116" customWidth="1"/>
    <col min="13564" max="13564" width="6.69921875" style="116" customWidth="1"/>
    <col min="13565" max="13565" width="8.3984375" style="116" customWidth="1"/>
    <col min="13566" max="13566" width="4.5" style="116" customWidth="1"/>
    <col min="13567" max="13567" width="8.19921875" style="116" customWidth="1"/>
    <col min="13568" max="13568" width="3.69921875" style="116" customWidth="1"/>
    <col min="13569" max="13569" width="7.69921875" style="116" customWidth="1"/>
    <col min="13570" max="13570" width="3.69921875" style="116" customWidth="1"/>
    <col min="13571" max="13571" width="7.69921875" style="116" customWidth="1"/>
    <col min="13572" max="13572" width="3.69921875" style="116" customWidth="1"/>
    <col min="13573" max="13573" width="7.69921875" style="116" customWidth="1"/>
    <col min="13574" max="13574" width="3.69921875" style="116" customWidth="1"/>
    <col min="13575" max="13575" width="6.19921875" style="116" customWidth="1"/>
    <col min="13576" max="13576" width="9" style="116"/>
    <col min="13577" max="13577" width="12.59765625" style="116" customWidth="1"/>
    <col min="13578" max="13578" width="19.09765625" style="116" customWidth="1"/>
    <col min="13579" max="13579" width="4.69921875" style="116" customWidth="1"/>
    <col min="13580" max="13580" width="9.8984375" style="116" customWidth="1"/>
    <col min="13581" max="13581" width="11.3984375" style="116" customWidth="1"/>
    <col min="13582" max="13582" width="5.8984375" style="116" customWidth="1"/>
    <col min="13583" max="13584" width="9" style="116"/>
    <col min="13585" max="13585" width="6.09765625" style="116" customWidth="1"/>
    <col min="13586" max="13586" width="19.5" style="116" customWidth="1"/>
    <col min="13587" max="13817" width="9" style="116"/>
    <col min="13818" max="13818" width="6.8984375" style="116" customWidth="1"/>
    <col min="13819" max="13819" width="7.5" style="116" customWidth="1"/>
    <col min="13820" max="13820" width="6.69921875" style="116" customWidth="1"/>
    <col min="13821" max="13821" width="8.3984375" style="116" customWidth="1"/>
    <col min="13822" max="13822" width="4.5" style="116" customWidth="1"/>
    <col min="13823" max="13823" width="8.19921875" style="116" customWidth="1"/>
    <col min="13824" max="13824" width="3.69921875" style="116" customWidth="1"/>
    <col min="13825" max="13825" width="7.69921875" style="116" customWidth="1"/>
    <col min="13826" max="13826" width="3.69921875" style="116" customWidth="1"/>
    <col min="13827" max="13827" width="7.69921875" style="116" customWidth="1"/>
    <col min="13828" max="13828" width="3.69921875" style="116" customWidth="1"/>
    <col min="13829" max="13829" width="7.69921875" style="116" customWidth="1"/>
    <col min="13830" max="13830" width="3.69921875" style="116" customWidth="1"/>
    <col min="13831" max="13831" width="6.19921875" style="116" customWidth="1"/>
    <col min="13832" max="13832" width="9" style="116"/>
    <col min="13833" max="13833" width="12.59765625" style="116" customWidth="1"/>
    <col min="13834" max="13834" width="19.09765625" style="116" customWidth="1"/>
    <col min="13835" max="13835" width="4.69921875" style="116" customWidth="1"/>
    <col min="13836" max="13836" width="9.8984375" style="116" customWidth="1"/>
    <col min="13837" max="13837" width="11.3984375" style="116" customWidth="1"/>
    <col min="13838" max="13838" width="5.8984375" style="116" customWidth="1"/>
    <col min="13839" max="13840" width="9" style="116"/>
    <col min="13841" max="13841" width="6.09765625" style="116" customWidth="1"/>
    <col min="13842" max="13842" width="19.5" style="116" customWidth="1"/>
    <col min="13843" max="14073" width="9" style="116"/>
    <col min="14074" max="14074" width="6.8984375" style="116" customWidth="1"/>
    <col min="14075" max="14075" width="7.5" style="116" customWidth="1"/>
    <col min="14076" max="14076" width="6.69921875" style="116" customWidth="1"/>
    <col min="14077" max="14077" width="8.3984375" style="116" customWidth="1"/>
    <col min="14078" max="14078" width="4.5" style="116" customWidth="1"/>
    <col min="14079" max="14079" width="8.19921875" style="116" customWidth="1"/>
    <col min="14080" max="14080" width="3.69921875" style="116" customWidth="1"/>
    <col min="14081" max="14081" width="7.69921875" style="116" customWidth="1"/>
    <col min="14082" max="14082" width="3.69921875" style="116" customWidth="1"/>
    <col min="14083" max="14083" width="7.69921875" style="116" customWidth="1"/>
    <col min="14084" max="14084" width="3.69921875" style="116" customWidth="1"/>
    <col min="14085" max="14085" width="7.69921875" style="116" customWidth="1"/>
    <col min="14086" max="14086" width="3.69921875" style="116" customWidth="1"/>
    <col min="14087" max="14087" width="6.19921875" style="116" customWidth="1"/>
    <col min="14088" max="14088" width="9" style="116"/>
    <col min="14089" max="14089" width="12.59765625" style="116" customWidth="1"/>
    <col min="14090" max="14090" width="19.09765625" style="116" customWidth="1"/>
    <col min="14091" max="14091" width="4.69921875" style="116" customWidth="1"/>
    <col min="14092" max="14092" width="9.8984375" style="116" customWidth="1"/>
    <col min="14093" max="14093" width="11.3984375" style="116" customWidth="1"/>
    <col min="14094" max="14094" width="5.8984375" style="116" customWidth="1"/>
    <col min="14095" max="14096" width="9" style="116"/>
    <col min="14097" max="14097" width="6.09765625" style="116" customWidth="1"/>
    <col min="14098" max="14098" width="19.5" style="116" customWidth="1"/>
    <col min="14099" max="14329" width="9" style="116"/>
    <col min="14330" max="14330" width="6.8984375" style="116" customWidth="1"/>
    <col min="14331" max="14331" width="7.5" style="116" customWidth="1"/>
    <col min="14332" max="14332" width="6.69921875" style="116" customWidth="1"/>
    <col min="14333" max="14333" width="8.3984375" style="116" customWidth="1"/>
    <col min="14334" max="14334" width="4.5" style="116" customWidth="1"/>
    <col min="14335" max="14335" width="8.19921875" style="116" customWidth="1"/>
    <col min="14336" max="14336" width="3.69921875" style="116" customWidth="1"/>
    <col min="14337" max="14337" width="7.69921875" style="116" customWidth="1"/>
    <col min="14338" max="14338" width="3.69921875" style="116" customWidth="1"/>
    <col min="14339" max="14339" width="7.69921875" style="116" customWidth="1"/>
    <col min="14340" max="14340" width="3.69921875" style="116" customWidth="1"/>
    <col min="14341" max="14341" width="7.69921875" style="116" customWidth="1"/>
    <col min="14342" max="14342" width="3.69921875" style="116" customWidth="1"/>
    <col min="14343" max="14343" width="6.19921875" style="116" customWidth="1"/>
    <col min="14344" max="14344" width="9" style="116"/>
    <col min="14345" max="14345" width="12.59765625" style="116" customWidth="1"/>
    <col min="14346" max="14346" width="19.09765625" style="116" customWidth="1"/>
    <col min="14347" max="14347" width="4.69921875" style="116" customWidth="1"/>
    <col min="14348" max="14348" width="9.8984375" style="116" customWidth="1"/>
    <col min="14349" max="14349" width="11.3984375" style="116" customWidth="1"/>
    <col min="14350" max="14350" width="5.8984375" style="116" customWidth="1"/>
    <col min="14351" max="14352" width="9" style="116"/>
    <col min="14353" max="14353" width="6.09765625" style="116" customWidth="1"/>
    <col min="14354" max="14354" width="19.5" style="116" customWidth="1"/>
    <col min="14355" max="14585" width="9" style="116"/>
    <col min="14586" max="14586" width="6.8984375" style="116" customWidth="1"/>
    <col min="14587" max="14587" width="7.5" style="116" customWidth="1"/>
    <col min="14588" max="14588" width="6.69921875" style="116" customWidth="1"/>
    <col min="14589" max="14589" width="8.3984375" style="116" customWidth="1"/>
    <col min="14590" max="14590" width="4.5" style="116" customWidth="1"/>
    <col min="14591" max="14591" width="8.19921875" style="116" customWidth="1"/>
    <col min="14592" max="14592" width="3.69921875" style="116" customWidth="1"/>
    <col min="14593" max="14593" width="7.69921875" style="116" customWidth="1"/>
    <col min="14594" max="14594" width="3.69921875" style="116" customWidth="1"/>
    <col min="14595" max="14595" width="7.69921875" style="116" customWidth="1"/>
    <col min="14596" max="14596" width="3.69921875" style="116" customWidth="1"/>
    <col min="14597" max="14597" width="7.69921875" style="116" customWidth="1"/>
    <col min="14598" max="14598" width="3.69921875" style="116" customWidth="1"/>
    <col min="14599" max="14599" width="6.19921875" style="116" customWidth="1"/>
    <col min="14600" max="14600" width="9" style="116"/>
    <col min="14601" max="14601" width="12.59765625" style="116" customWidth="1"/>
    <col min="14602" max="14602" width="19.09765625" style="116" customWidth="1"/>
    <col min="14603" max="14603" width="4.69921875" style="116" customWidth="1"/>
    <col min="14604" max="14604" width="9.8984375" style="116" customWidth="1"/>
    <col min="14605" max="14605" width="11.3984375" style="116" customWidth="1"/>
    <col min="14606" max="14606" width="5.8984375" style="116" customWidth="1"/>
    <col min="14607" max="14608" width="9" style="116"/>
    <col min="14609" max="14609" width="6.09765625" style="116" customWidth="1"/>
    <col min="14610" max="14610" width="19.5" style="116" customWidth="1"/>
    <col min="14611" max="14841" width="9" style="116"/>
    <col min="14842" max="14842" width="6.8984375" style="116" customWidth="1"/>
    <col min="14843" max="14843" width="7.5" style="116" customWidth="1"/>
    <col min="14844" max="14844" width="6.69921875" style="116" customWidth="1"/>
    <col min="14845" max="14845" width="8.3984375" style="116" customWidth="1"/>
    <col min="14846" max="14846" width="4.5" style="116" customWidth="1"/>
    <col min="14847" max="14847" width="8.19921875" style="116" customWidth="1"/>
    <col min="14848" max="14848" width="3.69921875" style="116" customWidth="1"/>
    <col min="14849" max="14849" width="7.69921875" style="116" customWidth="1"/>
    <col min="14850" max="14850" width="3.69921875" style="116" customWidth="1"/>
    <col min="14851" max="14851" width="7.69921875" style="116" customWidth="1"/>
    <col min="14852" max="14852" width="3.69921875" style="116" customWidth="1"/>
    <col min="14853" max="14853" width="7.69921875" style="116" customWidth="1"/>
    <col min="14854" max="14854" width="3.69921875" style="116" customWidth="1"/>
    <col min="14855" max="14855" width="6.19921875" style="116" customWidth="1"/>
    <col min="14856" max="14856" width="9" style="116"/>
    <col min="14857" max="14857" width="12.59765625" style="116" customWidth="1"/>
    <col min="14858" max="14858" width="19.09765625" style="116" customWidth="1"/>
    <col min="14859" max="14859" width="4.69921875" style="116" customWidth="1"/>
    <col min="14860" max="14860" width="9.8984375" style="116" customWidth="1"/>
    <col min="14861" max="14861" width="11.3984375" style="116" customWidth="1"/>
    <col min="14862" max="14862" width="5.8984375" style="116" customWidth="1"/>
    <col min="14863" max="14864" width="9" style="116"/>
    <col min="14865" max="14865" width="6.09765625" style="116" customWidth="1"/>
    <col min="14866" max="14866" width="19.5" style="116" customWidth="1"/>
    <col min="14867" max="15097" width="9" style="116"/>
    <col min="15098" max="15098" width="6.8984375" style="116" customWidth="1"/>
    <col min="15099" max="15099" width="7.5" style="116" customWidth="1"/>
    <col min="15100" max="15100" width="6.69921875" style="116" customWidth="1"/>
    <col min="15101" max="15101" width="8.3984375" style="116" customWidth="1"/>
    <col min="15102" max="15102" width="4.5" style="116" customWidth="1"/>
    <col min="15103" max="15103" width="8.19921875" style="116" customWidth="1"/>
    <col min="15104" max="15104" width="3.69921875" style="116" customWidth="1"/>
    <col min="15105" max="15105" width="7.69921875" style="116" customWidth="1"/>
    <col min="15106" max="15106" width="3.69921875" style="116" customWidth="1"/>
    <col min="15107" max="15107" width="7.69921875" style="116" customWidth="1"/>
    <col min="15108" max="15108" width="3.69921875" style="116" customWidth="1"/>
    <col min="15109" max="15109" width="7.69921875" style="116" customWidth="1"/>
    <col min="15110" max="15110" width="3.69921875" style="116" customWidth="1"/>
    <col min="15111" max="15111" width="6.19921875" style="116" customWidth="1"/>
    <col min="15112" max="15112" width="9" style="116"/>
    <col min="15113" max="15113" width="12.59765625" style="116" customWidth="1"/>
    <col min="15114" max="15114" width="19.09765625" style="116" customWidth="1"/>
    <col min="15115" max="15115" width="4.69921875" style="116" customWidth="1"/>
    <col min="15116" max="15116" width="9.8984375" style="116" customWidth="1"/>
    <col min="15117" max="15117" width="11.3984375" style="116" customWidth="1"/>
    <col min="15118" max="15118" width="5.8984375" style="116" customWidth="1"/>
    <col min="15119" max="15120" width="9" style="116"/>
    <col min="15121" max="15121" width="6.09765625" style="116" customWidth="1"/>
    <col min="15122" max="15122" width="19.5" style="116" customWidth="1"/>
    <col min="15123" max="15353" width="9" style="116"/>
    <col min="15354" max="15354" width="6.8984375" style="116" customWidth="1"/>
    <col min="15355" max="15355" width="7.5" style="116" customWidth="1"/>
    <col min="15356" max="15356" width="6.69921875" style="116" customWidth="1"/>
    <col min="15357" max="15357" width="8.3984375" style="116" customWidth="1"/>
    <col min="15358" max="15358" width="4.5" style="116" customWidth="1"/>
    <col min="15359" max="15359" width="8.19921875" style="116" customWidth="1"/>
    <col min="15360" max="15360" width="3.69921875" style="116" customWidth="1"/>
    <col min="15361" max="15361" width="7.69921875" style="116" customWidth="1"/>
    <col min="15362" max="15362" width="3.69921875" style="116" customWidth="1"/>
    <col min="15363" max="15363" width="7.69921875" style="116" customWidth="1"/>
    <col min="15364" max="15364" width="3.69921875" style="116" customWidth="1"/>
    <col min="15365" max="15365" width="7.69921875" style="116" customWidth="1"/>
    <col min="15366" max="15366" width="3.69921875" style="116" customWidth="1"/>
    <col min="15367" max="15367" width="6.19921875" style="116" customWidth="1"/>
    <col min="15368" max="15368" width="9" style="116"/>
    <col min="15369" max="15369" width="12.59765625" style="116" customWidth="1"/>
    <col min="15370" max="15370" width="19.09765625" style="116" customWidth="1"/>
    <col min="15371" max="15371" width="4.69921875" style="116" customWidth="1"/>
    <col min="15372" max="15372" width="9.8984375" style="116" customWidth="1"/>
    <col min="15373" max="15373" width="11.3984375" style="116" customWidth="1"/>
    <col min="15374" max="15374" width="5.8984375" style="116" customWidth="1"/>
    <col min="15375" max="15376" width="9" style="116"/>
    <col min="15377" max="15377" width="6.09765625" style="116" customWidth="1"/>
    <col min="15378" max="15378" width="19.5" style="116" customWidth="1"/>
    <col min="15379" max="15609" width="9" style="116"/>
    <col min="15610" max="15610" width="6.8984375" style="116" customWidth="1"/>
    <col min="15611" max="15611" width="7.5" style="116" customWidth="1"/>
    <col min="15612" max="15612" width="6.69921875" style="116" customWidth="1"/>
    <col min="15613" max="15613" width="8.3984375" style="116" customWidth="1"/>
    <col min="15614" max="15614" width="4.5" style="116" customWidth="1"/>
    <col min="15615" max="15615" width="8.19921875" style="116" customWidth="1"/>
    <col min="15616" max="15616" width="3.69921875" style="116" customWidth="1"/>
    <col min="15617" max="15617" width="7.69921875" style="116" customWidth="1"/>
    <col min="15618" max="15618" width="3.69921875" style="116" customWidth="1"/>
    <col min="15619" max="15619" width="7.69921875" style="116" customWidth="1"/>
    <col min="15620" max="15620" width="3.69921875" style="116" customWidth="1"/>
    <col min="15621" max="15621" width="7.69921875" style="116" customWidth="1"/>
    <col min="15622" max="15622" width="3.69921875" style="116" customWidth="1"/>
    <col min="15623" max="15623" width="6.19921875" style="116" customWidth="1"/>
    <col min="15624" max="15624" width="9" style="116"/>
    <col min="15625" max="15625" width="12.59765625" style="116" customWidth="1"/>
    <col min="15626" max="15626" width="19.09765625" style="116" customWidth="1"/>
    <col min="15627" max="15627" width="4.69921875" style="116" customWidth="1"/>
    <col min="15628" max="15628" width="9.8984375" style="116" customWidth="1"/>
    <col min="15629" max="15629" width="11.3984375" style="116" customWidth="1"/>
    <col min="15630" max="15630" width="5.8984375" style="116" customWidth="1"/>
    <col min="15631" max="15632" width="9" style="116"/>
    <col min="15633" max="15633" width="6.09765625" style="116" customWidth="1"/>
    <col min="15634" max="15634" width="19.5" style="116" customWidth="1"/>
    <col min="15635" max="15865" width="9" style="116"/>
    <col min="15866" max="15866" width="6.8984375" style="116" customWidth="1"/>
    <col min="15867" max="15867" width="7.5" style="116" customWidth="1"/>
    <col min="15868" max="15868" width="6.69921875" style="116" customWidth="1"/>
    <col min="15869" max="15869" width="8.3984375" style="116" customWidth="1"/>
    <col min="15870" max="15870" width="4.5" style="116" customWidth="1"/>
    <col min="15871" max="15871" width="8.19921875" style="116" customWidth="1"/>
    <col min="15872" max="15872" width="3.69921875" style="116" customWidth="1"/>
    <col min="15873" max="15873" width="7.69921875" style="116" customWidth="1"/>
    <col min="15874" max="15874" width="3.69921875" style="116" customWidth="1"/>
    <col min="15875" max="15875" width="7.69921875" style="116" customWidth="1"/>
    <col min="15876" max="15876" width="3.69921875" style="116" customWidth="1"/>
    <col min="15877" max="15877" width="7.69921875" style="116" customWidth="1"/>
    <col min="15878" max="15878" width="3.69921875" style="116" customWidth="1"/>
    <col min="15879" max="15879" width="6.19921875" style="116" customWidth="1"/>
    <col min="15880" max="15880" width="9" style="116"/>
    <col min="15881" max="15881" width="12.59765625" style="116" customWidth="1"/>
    <col min="15882" max="15882" width="19.09765625" style="116" customWidth="1"/>
    <col min="15883" max="15883" width="4.69921875" style="116" customWidth="1"/>
    <col min="15884" max="15884" width="9.8984375" style="116" customWidth="1"/>
    <col min="15885" max="15885" width="11.3984375" style="116" customWidth="1"/>
    <col min="15886" max="15886" width="5.8984375" style="116" customWidth="1"/>
    <col min="15887" max="15888" width="9" style="116"/>
    <col min="15889" max="15889" width="6.09765625" style="116" customWidth="1"/>
    <col min="15890" max="15890" width="19.5" style="116" customWidth="1"/>
    <col min="15891" max="16121" width="9" style="116"/>
    <col min="16122" max="16122" width="6.8984375" style="116" customWidth="1"/>
    <col min="16123" max="16123" width="7.5" style="116" customWidth="1"/>
    <col min="16124" max="16124" width="6.69921875" style="116" customWidth="1"/>
    <col min="16125" max="16125" width="8.3984375" style="116" customWidth="1"/>
    <col min="16126" max="16126" width="4.5" style="116" customWidth="1"/>
    <col min="16127" max="16127" width="8.19921875" style="116" customWidth="1"/>
    <col min="16128" max="16128" width="3.69921875" style="116" customWidth="1"/>
    <col min="16129" max="16129" width="7.69921875" style="116" customWidth="1"/>
    <col min="16130" max="16130" width="3.69921875" style="116" customWidth="1"/>
    <col min="16131" max="16131" width="7.69921875" style="116" customWidth="1"/>
    <col min="16132" max="16132" width="3.69921875" style="116" customWidth="1"/>
    <col min="16133" max="16133" width="7.69921875" style="116" customWidth="1"/>
    <col min="16134" max="16134" width="3.69921875" style="116" customWidth="1"/>
    <col min="16135" max="16135" width="6.19921875" style="116" customWidth="1"/>
    <col min="16136" max="16136" width="9" style="116"/>
    <col min="16137" max="16137" width="12.59765625" style="116" customWidth="1"/>
    <col min="16138" max="16138" width="19.09765625" style="116" customWidth="1"/>
    <col min="16139" max="16139" width="4.69921875" style="116" customWidth="1"/>
    <col min="16140" max="16140" width="9.8984375" style="116" customWidth="1"/>
    <col min="16141" max="16141" width="11.3984375" style="116" customWidth="1"/>
    <col min="16142" max="16142" width="5.8984375" style="116" customWidth="1"/>
    <col min="16143" max="16144" width="9" style="116"/>
    <col min="16145" max="16145" width="6.09765625" style="116" customWidth="1"/>
    <col min="16146" max="16146" width="19.5" style="116" customWidth="1"/>
    <col min="16147" max="16384" width="9" style="116"/>
  </cols>
  <sheetData>
    <row r="1" spans="1:16" ht="15" customHeight="1" x14ac:dyDescent="0.45">
      <c r="A1" s="96"/>
      <c r="B1" s="96"/>
      <c r="C1" s="97"/>
      <c r="D1" s="98"/>
      <c r="E1" s="99"/>
      <c r="F1" s="99"/>
      <c r="G1" s="99"/>
      <c r="H1" s="115"/>
    </row>
    <row r="2" spans="1:16" ht="15" customHeight="1" x14ac:dyDescent="0.45">
      <c r="A2" s="100"/>
      <c r="B2" s="100"/>
      <c r="C2" s="100"/>
      <c r="D2" s="101"/>
      <c r="E2" s="102"/>
      <c r="F2" s="102"/>
      <c r="G2" s="102"/>
      <c r="I2" s="143"/>
      <c r="J2" s="141"/>
      <c r="K2" s="142"/>
      <c r="L2" s="142"/>
      <c r="M2" s="142"/>
      <c r="N2" s="142"/>
      <c r="O2" s="142"/>
      <c r="P2" s="142"/>
    </row>
    <row r="3" spans="1:16" ht="15" customHeight="1" x14ac:dyDescent="0.45">
      <c r="A3" s="102"/>
      <c r="B3" s="102"/>
      <c r="C3" s="103"/>
      <c r="D3" s="104"/>
      <c r="E3" s="102"/>
      <c r="F3" s="102"/>
      <c r="G3" s="102"/>
      <c r="I3" s="144"/>
      <c r="J3" s="141"/>
      <c r="K3" s="142"/>
      <c r="L3" s="142"/>
      <c r="M3" s="142"/>
      <c r="N3" s="142"/>
      <c r="O3" s="142"/>
      <c r="P3" s="142"/>
    </row>
    <row r="4" spans="1:16" ht="15" customHeight="1" x14ac:dyDescent="0.45">
      <c r="A4" s="102"/>
      <c r="B4" s="102"/>
      <c r="C4" s="102"/>
      <c r="D4" s="102"/>
      <c r="E4" s="102"/>
      <c r="F4" s="102"/>
      <c r="G4" s="102"/>
      <c r="H4" s="117"/>
      <c r="I4" s="144"/>
      <c r="J4" s="141"/>
      <c r="K4" s="142"/>
      <c r="L4" s="142"/>
      <c r="M4" s="142"/>
      <c r="N4" s="142"/>
      <c r="O4" s="142"/>
      <c r="P4" s="142"/>
    </row>
    <row r="5" spans="1:16" ht="15" customHeight="1" x14ac:dyDescent="0.45">
      <c r="A5" s="102"/>
      <c r="B5" s="102"/>
      <c r="C5" s="105"/>
      <c r="D5" s="105"/>
      <c r="E5" s="105"/>
      <c r="F5" s="105"/>
      <c r="G5" s="105"/>
      <c r="H5" s="118"/>
      <c r="I5" s="144"/>
      <c r="J5" s="141"/>
      <c r="K5" s="142"/>
      <c r="L5" s="142"/>
      <c r="M5" s="142"/>
      <c r="N5" s="142"/>
      <c r="O5" s="142"/>
      <c r="P5" s="142"/>
    </row>
    <row r="6" spans="1:16" ht="15" customHeight="1" x14ac:dyDescent="0.45">
      <c r="A6" s="102"/>
      <c r="B6" s="102"/>
      <c r="C6" s="106"/>
      <c r="D6" s="102"/>
      <c r="E6" s="102"/>
      <c r="F6" s="102"/>
      <c r="G6" s="102"/>
      <c r="H6" s="118"/>
      <c r="I6" s="144"/>
      <c r="J6" s="141"/>
      <c r="K6" s="142"/>
      <c r="L6" s="142"/>
      <c r="M6" s="142"/>
      <c r="N6" s="142"/>
      <c r="O6" s="142"/>
      <c r="P6" s="142"/>
    </row>
    <row r="7" spans="1:16" ht="15" customHeight="1" x14ac:dyDescent="0.45">
      <c r="A7" s="102"/>
      <c r="B7" s="102"/>
      <c r="C7" s="107"/>
      <c r="D7" s="107"/>
      <c r="E7" s="107"/>
      <c r="F7" s="107"/>
      <c r="G7" s="107"/>
      <c r="H7" s="140"/>
      <c r="I7" s="144"/>
      <c r="J7" s="141"/>
      <c r="K7" s="142"/>
      <c r="L7" s="142"/>
      <c r="M7" s="142"/>
      <c r="N7" s="142"/>
      <c r="O7" s="142"/>
      <c r="P7" s="142"/>
    </row>
    <row r="8" spans="1:16" ht="15" customHeight="1" x14ac:dyDescent="0.45">
      <c r="A8" s="102"/>
      <c r="B8" s="102"/>
      <c r="C8" s="108"/>
      <c r="D8" s="108"/>
      <c r="E8" s="108"/>
      <c r="F8" s="108"/>
      <c r="G8" s="108"/>
      <c r="H8" s="119"/>
      <c r="I8" s="144"/>
      <c r="J8" s="141"/>
      <c r="K8" s="142"/>
      <c r="L8" s="142"/>
      <c r="M8" s="142"/>
      <c r="N8" s="142"/>
      <c r="O8" s="142"/>
      <c r="P8" s="142"/>
    </row>
    <row r="9" spans="1:16" ht="15" customHeight="1" x14ac:dyDescent="0.45">
      <c r="A9" s="102"/>
      <c r="B9" s="102"/>
      <c r="C9" s="109"/>
      <c r="D9" s="109"/>
      <c r="E9" s="109"/>
      <c r="F9" s="109"/>
      <c r="G9" s="109"/>
      <c r="H9" s="119"/>
      <c r="I9" s="144"/>
      <c r="J9" s="141"/>
      <c r="K9" s="142"/>
      <c r="L9" s="142"/>
      <c r="M9" s="142"/>
      <c r="N9" s="142"/>
      <c r="O9" s="142"/>
      <c r="P9" s="142"/>
    </row>
    <row r="10" spans="1:16" ht="15" customHeight="1" x14ac:dyDescent="0.45">
      <c r="A10" s="102"/>
      <c r="B10" s="102"/>
      <c r="C10" s="110"/>
      <c r="D10" s="110"/>
      <c r="E10" s="110"/>
      <c r="F10" s="110"/>
      <c r="G10" s="110"/>
      <c r="H10" s="119"/>
      <c r="I10" s="144"/>
      <c r="J10" s="141"/>
      <c r="K10" s="142"/>
      <c r="L10" s="142"/>
      <c r="M10" s="142"/>
      <c r="N10" s="142"/>
      <c r="O10" s="142"/>
      <c r="P10" s="142"/>
    </row>
    <row r="11" spans="1:16" ht="15" customHeight="1" x14ac:dyDescent="0.45">
      <c r="A11" s="102"/>
      <c r="B11" s="102"/>
      <c r="C11" s="110"/>
      <c r="D11" s="110"/>
      <c r="E11" s="110"/>
      <c r="F11" s="110"/>
      <c r="G11" s="110"/>
      <c r="H11" s="119"/>
      <c r="I11" s="144"/>
      <c r="J11" s="141"/>
      <c r="K11" s="142"/>
      <c r="L11" s="142"/>
      <c r="M11" s="142"/>
      <c r="N11" s="142"/>
      <c r="O11" s="142"/>
      <c r="P11" s="142"/>
    </row>
    <row r="12" spans="1:16" ht="18.75" hidden="1" customHeight="1" x14ac:dyDescent="0.45">
      <c r="A12" s="111"/>
      <c r="B12" s="111"/>
      <c r="C12" s="110"/>
      <c r="D12" s="110"/>
      <c r="E12" s="110"/>
      <c r="F12" s="110"/>
      <c r="G12" s="110"/>
      <c r="H12" s="119"/>
      <c r="I12" s="144"/>
      <c r="J12" s="141"/>
      <c r="K12" s="142"/>
      <c r="L12" s="142"/>
      <c r="M12" s="142"/>
      <c r="N12" s="142"/>
      <c r="O12" s="142"/>
      <c r="P12" s="142"/>
    </row>
    <row r="13" spans="1:16" ht="15" customHeight="1" x14ac:dyDescent="0.45">
      <c r="A13" s="102"/>
      <c r="B13" s="102"/>
      <c r="C13" s="112"/>
      <c r="D13" s="112"/>
      <c r="E13" s="112"/>
      <c r="F13" s="112"/>
      <c r="G13" s="112"/>
      <c r="H13" s="119"/>
      <c r="I13" s="144"/>
      <c r="J13" s="141"/>
      <c r="K13" s="142"/>
      <c r="L13" s="142"/>
      <c r="M13" s="142"/>
      <c r="N13" s="142"/>
      <c r="O13" s="142"/>
      <c r="P13" s="142"/>
    </row>
    <row r="14" spans="1:16" ht="15" customHeight="1" x14ac:dyDescent="0.45">
      <c r="A14" s="102"/>
      <c r="B14" s="102"/>
      <c r="C14" s="110"/>
      <c r="D14" s="110"/>
      <c r="E14" s="110"/>
      <c r="F14" s="110"/>
      <c r="G14" s="110"/>
      <c r="H14" s="119"/>
      <c r="I14" s="144"/>
      <c r="J14" s="141"/>
      <c r="K14" s="142"/>
      <c r="L14" s="142"/>
      <c r="M14" s="142"/>
      <c r="N14" s="142"/>
      <c r="O14" s="142"/>
      <c r="P14" s="142"/>
    </row>
    <row r="15" spans="1:16" ht="15" customHeight="1" x14ac:dyDescent="0.45">
      <c r="A15" s="102"/>
      <c r="B15" s="102"/>
      <c r="C15" s="110"/>
      <c r="D15" s="110"/>
      <c r="E15" s="110"/>
      <c r="F15" s="110"/>
      <c r="G15" s="110"/>
      <c r="H15" s="119"/>
      <c r="I15" s="144"/>
      <c r="J15" s="141"/>
      <c r="K15" s="142"/>
      <c r="L15" s="142"/>
      <c r="M15" s="142"/>
      <c r="N15" s="142"/>
      <c r="O15" s="142"/>
      <c r="P15" s="142"/>
    </row>
    <row r="16" spans="1:16" ht="18.75" hidden="1" customHeight="1" x14ac:dyDescent="0.45">
      <c r="A16" s="111"/>
      <c r="B16" s="111"/>
      <c r="C16" s="110"/>
      <c r="D16" s="110"/>
      <c r="E16" s="110"/>
      <c r="F16" s="110"/>
      <c r="G16" s="110"/>
      <c r="H16" s="119"/>
      <c r="I16" s="144"/>
      <c r="J16" s="141"/>
      <c r="K16" s="142"/>
      <c r="L16" s="142"/>
      <c r="M16" s="142"/>
      <c r="N16" s="142"/>
      <c r="O16" s="142"/>
      <c r="P16" s="142"/>
    </row>
    <row r="17" spans="1:16" ht="15" customHeight="1" x14ac:dyDescent="0.45">
      <c r="A17" s="102"/>
      <c r="B17" s="102"/>
      <c r="C17" s="113"/>
      <c r="D17" s="112"/>
      <c r="E17" s="112"/>
      <c r="F17" s="112"/>
      <c r="G17" s="112"/>
      <c r="H17" s="119"/>
      <c r="I17" s="144"/>
      <c r="J17" s="141"/>
      <c r="K17" s="142"/>
      <c r="L17" s="142"/>
      <c r="M17" s="142"/>
      <c r="N17" s="142"/>
      <c r="O17" s="142"/>
      <c r="P17" s="142"/>
    </row>
    <row r="18" spans="1:16" ht="15" customHeight="1" thickBot="1" x14ac:dyDescent="0.5">
      <c r="A18" s="102"/>
      <c r="B18" s="102"/>
      <c r="C18" s="102"/>
      <c r="D18" s="102"/>
      <c r="E18" s="102"/>
      <c r="F18" s="102"/>
      <c r="G18" s="102"/>
      <c r="H18" s="121"/>
      <c r="I18" s="145"/>
      <c r="J18" s="141"/>
      <c r="K18" s="142"/>
      <c r="L18" s="142"/>
      <c r="M18" s="142"/>
      <c r="N18" s="142"/>
      <c r="O18" s="142"/>
      <c r="P18" s="142"/>
    </row>
    <row r="19" spans="1:16" ht="15" customHeight="1" x14ac:dyDescent="0.45">
      <c r="A19" s="102"/>
      <c r="B19" s="102"/>
      <c r="C19" s="102"/>
      <c r="D19" s="102"/>
      <c r="E19" s="102"/>
      <c r="F19" s="102"/>
      <c r="G19" s="102"/>
      <c r="H19" s="121"/>
      <c r="I19" s="266" t="s">
        <v>63</v>
      </c>
      <c r="J19" s="267"/>
      <c r="K19" s="268"/>
    </row>
    <row r="20" spans="1:16" ht="15" customHeight="1" thickBot="1" x14ac:dyDescent="0.5">
      <c r="A20" s="102"/>
      <c r="B20" s="102"/>
      <c r="C20" s="102"/>
      <c r="D20" s="102"/>
      <c r="E20" s="102"/>
      <c r="F20" s="102"/>
      <c r="G20" s="102"/>
      <c r="H20" s="121"/>
      <c r="I20" s="269">
        <v>3858400</v>
      </c>
      <c r="J20" s="270"/>
      <c r="K20" s="122" t="s">
        <v>3</v>
      </c>
    </row>
    <row r="21" spans="1:16" ht="15" customHeight="1" x14ac:dyDescent="0.45">
      <c r="A21" s="102"/>
      <c r="B21" s="102"/>
      <c r="C21" s="102"/>
      <c r="D21" s="102"/>
      <c r="E21" s="102"/>
      <c r="F21" s="102"/>
      <c r="G21" s="102"/>
      <c r="H21" s="120"/>
      <c r="I21" s="271" t="s">
        <v>133</v>
      </c>
      <c r="J21" s="272"/>
      <c r="K21" s="273"/>
      <c r="M21" s="116" t="s">
        <v>135</v>
      </c>
    </row>
    <row r="22" spans="1:16" ht="15" customHeight="1" x14ac:dyDescent="0.45">
      <c r="A22" s="102"/>
      <c r="B22" s="102"/>
      <c r="C22" s="114"/>
      <c r="D22" s="114"/>
      <c r="E22" s="114"/>
      <c r="F22" s="114"/>
      <c r="G22" s="114"/>
      <c r="H22" s="121"/>
      <c r="I22" s="123" t="s">
        <v>4</v>
      </c>
      <c r="J22" s="124">
        <v>630000</v>
      </c>
      <c r="K22" s="125" t="s">
        <v>5</v>
      </c>
      <c r="M22" s="116" t="s">
        <v>136</v>
      </c>
    </row>
    <row r="23" spans="1:16" ht="15" customHeight="1" x14ac:dyDescent="0.45">
      <c r="A23" s="102"/>
      <c r="B23" s="102"/>
      <c r="C23" s="114"/>
      <c r="D23" s="114"/>
      <c r="E23" s="114"/>
      <c r="F23" s="114"/>
      <c r="G23" s="114"/>
      <c r="H23" s="120"/>
      <c r="I23" s="123" t="s">
        <v>6</v>
      </c>
      <c r="J23" s="126">
        <v>2105000</v>
      </c>
      <c r="K23" s="127" t="s">
        <v>5</v>
      </c>
    </row>
    <row r="24" spans="1:16" ht="15" customHeight="1" thickBot="1" x14ac:dyDescent="0.5">
      <c r="A24" s="102"/>
      <c r="B24" s="102"/>
      <c r="C24" s="102"/>
      <c r="D24" s="102"/>
      <c r="E24" s="102"/>
      <c r="F24" s="102"/>
      <c r="G24" s="102"/>
      <c r="H24" s="120"/>
      <c r="I24" s="128" t="s">
        <v>7</v>
      </c>
      <c r="J24" s="129">
        <v>3355000</v>
      </c>
      <c r="K24" s="130" t="s">
        <v>5</v>
      </c>
    </row>
    <row r="25" spans="1:16" ht="15" customHeight="1" thickBot="1" x14ac:dyDescent="0.5">
      <c r="A25" s="102"/>
      <c r="B25" s="102"/>
      <c r="C25" s="102"/>
      <c r="D25" s="102"/>
      <c r="E25" s="102"/>
      <c r="F25" s="102"/>
      <c r="G25" s="102"/>
      <c r="H25" s="120"/>
      <c r="I25" s="95" t="s">
        <v>62</v>
      </c>
    </row>
    <row r="26" spans="1:16" ht="15" customHeight="1" thickTop="1" thickBot="1" x14ac:dyDescent="0.5">
      <c r="A26" s="102"/>
      <c r="B26" s="102"/>
      <c r="C26" s="102"/>
      <c r="D26" s="102"/>
      <c r="E26" s="102"/>
      <c r="F26" s="102"/>
      <c r="G26" s="102"/>
      <c r="H26" s="120"/>
      <c r="I26" s="264" t="s">
        <v>64</v>
      </c>
      <c r="J26" s="265"/>
      <c r="K26" s="131">
        <v>0</v>
      </c>
      <c r="M26" s="116" t="s">
        <v>137</v>
      </c>
    </row>
    <row r="27" spans="1:16" ht="15" customHeight="1" thickTop="1" thickBot="1" x14ac:dyDescent="0.5">
      <c r="A27" s="102"/>
      <c r="B27" s="102"/>
      <c r="C27" s="102"/>
      <c r="D27" s="102"/>
      <c r="E27" s="102"/>
      <c r="F27" s="102"/>
      <c r="G27" s="102"/>
      <c r="H27" s="120"/>
      <c r="M27" s="116" t="s">
        <v>138</v>
      </c>
    </row>
    <row r="28" spans="1:16" ht="15" customHeight="1" thickBot="1" x14ac:dyDescent="0.5">
      <c r="A28" s="260"/>
      <c r="B28" s="260"/>
      <c r="C28" s="132"/>
      <c r="D28" s="132"/>
      <c r="E28" s="132"/>
      <c r="F28" s="132"/>
      <c r="G28" s="132"/>
      <c r="H28" s="120"/>
      <c r="I28" s="261" t="str">
        <f>CONCATENATE(基礎情報入力シート!A1,基礎情報入力シート!B1,基礎情報入力シート!C1)&amp;"の未就学児軽減割合"</f>
        <v>令和6年度の未就学児軽減割合</v>
      </c>
      <c r="J28" s="262"/>
      <c r="K28" s="133">
        <v>0.5</v>
      </c>
      <c r="M28" s="116" t="s">
        <v>139</v>
      </c>
    </row>
    <row r="29" spans="1:16" ht="15" customHeight="1" x14ac:dyDescent="0.45">
      <c r="A29" s="263"/>
      <c r="B29" s="263"/>
      <c r="C29" s="134"/>
      <c r="D29" s="134"/>
      <c r="E29" s="134"/>
      <c r="F29" s="134"/>
      <c r="G29" s="134"/>
      <c r="M29" s="116" t="s">
        <v>140</v>
      </c>
    </row>
    <row r="30" spans="1:16" ht="15" customHeight="1" x14ac:dyDescent="0.45">
      <c r="C30" s="135"/>
      <c r="D30" s="135"/>
      <c r="E30" s="136"/>
      <c r="F30" s="135"/>
      <c r="G30" s="135"/>
    </row>
    <row r="31" spans="1:16" ht="15" customHeight="1" x14ac:dyDescent="0.45">
      <c r="A31" s="258"/>
      <c r="B31" s="259"/>
      <c r="C31" s="259"/>
      <c r="D31" s="259"/>
      <c r="E31" s="259"/>
      <c r="F31" s="259"/>
      <c r="G31" s="259"/>
      <c r="H31" s="259"/>
      <c r="I31" s="259"/>
      <c r="J31" s="259"/>
      <c r="K31" s="259"/>
    </row>
    <row r="32" spans="1:16" ht="15" customHeight="1" x14ac:dyDescent="0.45">
      <c r="A32" s="258"/>
      <c r="B32" s="259"/>
      <c r="C32" s="259"/>
      <c r="D32" s="259"/>
      <c r="E32" s="259"/>
      <c r="F32" s="259"/>
      <c r="G32" s="259"/>
      <c r="H32" s="259"/>
      <c r="I32" s="259"/>
      <c r="J32" s="259"/>
      <c r="K32" s="259"/>
    </row>
    <row r="33" spans="1:11" ht="15" customHeight="1" x14ac:dyDescent="0.45">
      <c r="A33" s="258"/>
      <c r="B33" s="259"/>
      <c r="C33" s="259"/>
      <c r="D33" s="259"/>
      <c r="E33" s="259"/>
      <c r="F33" s="259"/>
      <c r="G33" s="259"/>
      <c r="H33" s="259"/>
      <c r="I33" s="259"/>
      <c r="J33" s="259"/>
      <c r="K33" s="259"/>
    </row>
    <row r="34" spans="1:11" ht="15" customHeight="1" x14ac:dyDescent="0.45">
      <c r="A34" s="258"/>
      <c r="B34" s="259"/>
      <c r="C34" s="259"/>
      <c r="D34" s="259"/>
      <c r="E34" s="259"/>
      <c r="F34" s="259"/>
      <c r="G34" s="259"/>
      <c r="H34" s="259"/>
      <c r="I34" s="259"/>
      <c r="J34" s="259"/>
      <c r="K34" s="259"/>
    </row>
    <row r="35" spans="1:11" ht="15" customHeight="1" x14ac:dyDescent="0.45">
      <c r="A35" s="258"/>
      <c r="B35" s="259"/>
      <c r="C35" s="259"/>
      <c r="D35" s="259"/>
      <c r="E35" s="259"/>
      <c r="F35" s="259"/>
      <c r="G35" s="259"/>
      <c r="H35" s="259"/>
      <c r="I35" s="259"/>
      <c r="J35" s="259"/>
      <c r="K35" s="259"/>
    </row>
    <row r="36" spans="1:11" ht="15" customHeight="1" x14ac:dyDescent="0.45">
      <c r="D36" s="120"/>
      <c r="E36" s="137"/>
      <c r="F36" s="120"/>
      <c r="G36" s="138"/>
      <c r="H36" s="139"/>
    </row>
    <row r="37" spans="1:11" ht="15" customHeight="1" x14ac:dyDescent="0.45">
      <c r="D37" s="120"/>
      <c r="E37" s="139"/>
      <c r="F37" s="120"/>
      <c r="G37" s="138"/>
      <c r="H37" s="139"/>
    </row>
    <row r="38" spans="1:11" ht="15" customHeight="1" x14ac:dyDescent="0.45">
      <c r="D38" s="138"/>
      <c r="E38" s="139"/>
      <c r="F38" s="120"/>
      <c r="G38" s="120"/>
      <c r="H38" s="120"/>
    </row>
    <row r="39" spans="1:11" ht="15" customHeight="1" x14ac:dyDescent="0.45">
      <c r="D39" s="138"/>
      <c r="E39" s="139"/>
      <c r="F39" s="120"/>
      <c r="G39" s="120"/>
      <c r="H39" s="120"/>
    </row>
    <row r="40" spans="1:11" ht="15" customHeight="1" x14ac:dyDescent="0.45">
      <c r="G40" s="120"/>
      <c r="H40" s="120"/>
    </row>
    <row r="41" spans="1:11" ht="15" customHeight="1" x14ac:dyDescent="0.45">
      <c r="G41" s="138"/>
      <c r="H41" s="139"/>
    </row>
    <row r="42" spans="1:11" ht="15" customHeight="1" x14ac:dyDescent="0.45">
      <c r="G42" s="138"/>
    </row>
    <row r="45" spans="1:11" ht="15" customHeight="1" x14ac:dyDescent="0.45">
      <c r="H45" s="139"/>
    </row>
    <row r="46" spans="1:11" ht="15" customHeight="1" x14ac:dyDescent="0.45">
      <c r="H46" s="137"/>
    </row>
    <row r="47" spans="1:11" ht="15" customHeight="1" x14ac:dyDescent="0.45">
      <c r="D47" s="138"/>
      <c r="E47" s="139"/>
      <c r="F47" s="120"/>
      <c r="G47" s="120"/>
      <c r="H47" s="139"/>
    </row>
    <row r="48" spans="1:11" ht="15" customHeight="1" x14ac:dyDescent="0.45">
      <c r="G48" s="138"/>
    </row>
    <row r="49" spans="7:7" ht="15" customHeight="1" x14ac:dyDescent="0.45">
      <c r="G49" s="138"/>
    </row>
  </sheetData>
  <sheetProtection algorithmName="SHA-512" hashValue="neRaUotByRaEE2SEcxebS3+nUxHeVDRSpKovWg6PUwPq/BcLMY5tDmALgL4N6YZ7NpRzfDPivqEtmH70pfTCrw==" saltValue="erIaMwG9uW/D+UYWa/tBrA==" spinCount="100000" sheet="1" objects="1" scenarios="1"/>
  <protectedRanges>
    <protectedRange sqref="D2" name="範囲1"/>
    <protectedRange sqref="C17:G17 C8:G8 C13:G13" name="範囲3"/>
    <protectedRange sqref="C9:G9" name="範囲3_2"/>
    <protectedRange sqref="C7:G7" name="範囲3_1_1_1_1"/>
  </protectedRanges>
  <mergeCells count="12">
    <mergeCell ref="I26:J26"/>
    <mergeCell ref="I19:K19"/>
    <mergeCell ref="I20:J20"/>
    <mergeCell ref="I21:K21"/>
    <mergeCell ref="A33:K33"/>
    <mergeCell ref="A34:K34"/>
    <mergeCell ref="A35:K35"/>
    <mergeCell ref="A28:B28"/>
    <mergeCell ref="I28:J28"/>
    <mergeCell ref="A29:B29"/>
    <mergeCell ref="A31:K31"/>
    <mergeCell ref="A32:K32"/>
  </mergeCells>
  <phoneticPr fontId="4"/>
  <dataValidations disablePrompts="1" count="5">
    <dataValidation type="list" showInputMessage="1" showErrorMessage="1" sqref="IT65536 WVF983042 WLJ983042 WBN983042 VRR983042 VHV983042 UXZ983042 UOD983042 UEH983042 TUL983042 TKP983042 TAT983042 SQX983042 SHB983042 RXF983042 RNJ983042 RDN983042 QTR983042 QJV983042 PZZ983042 PQD983042 PGH983042 OWL983042 OMP983042 OCT983042 NSX983042 NJB983042 MZF983042 MPJ983042 MFN983042 LVR983042 LLV983042 LBZ983042 KSD983042 KIH983042 JYL983042 JOP983042 JET983042 IUX983042 ILB983042 IBF983042 HRJ983042 HHN983042 GXR983042 GNV983042 GDZ983042 FUD983042 FKH983042 FAL983042 EQP983042 EGT983042 DWX983042 DNB983042 DDF983042 CTJ983042 CJN983042 BZR983042 BPV983042 BFZ983042 AWD983042 AMH983042 ACL983042 SP983042 IT983042 C983044 WVF917506 WLJ917506 WBN917506 VRR917506 VHV917506 UXZ917506 UOD917506 UEH917506 TUL917506 TKP917506 TAT917506 SQX917506 SHB917506 RXF917506 RNJ917506 RDN917506 QTR917506 QJV917506 PZZ917506 PQD917506 PGH917506 OWL917506 OMP917506 OCT917506 NSX917506 NJB917506 MZF917506 MPJ917506 MFN917506 LVR917506 LLV917506 LBZ917506 KSD917506 KIH917506 JYL917506 JOP917506 JET917506 IUX917506 ILB917506 IBF917506 HRJ917506 HHN917506 GXR917506 GNV917506 GDZ917506 FUD917506 FKH917506 FAL917506 EQP917506 EGT917506 DWX917506 DNB917506 DDF917506 CTJ917506 CJN917506 BZR917506 BPV917506 BFZ917506 AWD917506 AMH917506 ACL917506 SP917506 IT917506 C917508 WVF851970 WLJ851970 WBN851970 VRR851970 VHV851970 UXZ851970 UOD851970 UEH851970 TUL851970 TKP851970 TAT851970 SQX851970 SHB851970 RXF851970 RNJ851970 RDN851970 QTR851970 QJV851970 PZZ851970 PQD851970 PGH851970 OWL851970 OMP851970 OCT851970 NSX851970 NJB851970 MZF851970 MPJ851970 MFN851970 LVR851970 LLV851970 LBZ851970 KSD851970 KIH851970 JYL851970 JOP851970 JET851970 IUX851970 ILB851970 IBF851970 HRJ851970 HHN851970 GXR851970 GNV851970 GDZ851970 FUD851970 FKH851970 FAL851970 EQP851970 EGT851970 DWX851970 DNB851970 DDF851970 CTJ851970 CJN851970 BZR851970 BPV851970 BFZ851970 AWD851970 AMH851970 ACL851970 SP851970 IT851970 C851972 WVF786434 WLJ786434 WBN786434 VRR786434 VHV786434 UXZ786434 UOD786434 UEH786434 TUL786434 TKP786434 TAT786434 SQX786434 SHB786434 RXF786434 RNJ786434 RDN786434 QTR786434 QJV786434 PZZ786434 PQD786434 PGH786434 OWL786434 OMP786434 OCT786434 NSX786434 NJB786434 MZF786434 MPJ786434 MFN786434 LVR786434 LLV786434 LBZ786434 KSD786434 KIH786434 JYL786434 JOP786434 JET786434 IUX786434 ILB786434 IBF786434 HRJ786434 HHN786434 GXR786434 GNV786434 GDZ786434 FUD786434 FKH786434 FAL786434 EQP786434 EGT786434 DWX786434 DNB786434 DDF786434 CTJ786434 CJN786434 BZR786434 BPV786434 BFZ786434 AWD786434 AMH786434 ACL786434 SP786434 IT786434 C786436 WVF720898 WLJ720898 WBN720898 VRR720898 VHV720898 UXZ720898 UOD720898 UEH720898 TUL720898 TKP720898 TAT720898 SQX720898 SHB720898 RXF720898 RNJ720898 RDN720898 QTR720898 QJV720898 PZZ720898 PQD720898 PGH720898 OWL720898 OMP720898 OCT720898 NSX720898 NJB720898 MZF720898 MPJ720898 MFN720898 LVR720898 LLV720898 LBZ720898 KSD720898 KIH720898 JYL720898 JOP720898 JET720898 IUX720898 ILB720898 IBF720898 HRJ720898 HHN720898 GXR720898 GNV720898 GDZ720898 FUD720898 FKH720898 FAL720898 EQP720898 EGT720898 DWX720898 DNB720898 DDF720898 CTJ720898 CJN720898 BZR720898 BPV720898 BFZ720898 AWD720898 AMH720898 ACL720898 SP720898 IT720898 C720900 WVF655362 WLJ655362 WBN655362 VRR655362 VHV655362 UXZ655362 UOD655362 UEH655362 TUL655362 TKP655362 TAT655362 SQX655362 SHB655362 RXF655362 RNJ655362 RDN655362 QTR655362 QJV655362 PZZ655362 PQD655362 PGH655362 OWL655362 OMP655362 OCT655362 NSX655362 NJB655362 MZF655362 MPJ655362 MFN655362 LVR655362 LLV655362 LBZ655362 KSD655362 KIH655362 JYL655362 JOP655362 JET655362 IUX655362 ILB655362 IBF655362 HRJ655362 HHN655362 GXR655362 GNV655362 GDZ655362 FUD655362 FKH655362 FAL655362 EQP655362 EGT655362 DWX655362 DNB655362 DDF655362 CTJ655362 CJN655362 BZR655362 BPV655362 BFZ655362 AWD655362 AMH655362 ACL655362 SP655362 IT655362 C655364 WVF589826 WLJ589826 WBN589826 VRR589826 VHV589826 UXZ589826 UOD589826 UEH589826 TUL589826 TKP589826 TAT589826 SQX589826 SHB589826 RXF589826 RNJ589826 RDN589826 QTR589826 QJV589826 PZZ589826 PQD589826 PGH589826 OWL589826 OMP589826 OCT589826 NSX589826 NJB589826 MZF589826 MPJ589826 MFN589826 LVR589826 LLV589826 LBZ589826 KSD589826 KIH589826 JYL589826 JOP589826 JET589826 IUX589826 ILB589826 IBF589826 HRJ589826 HHN589826 GXR589826 GNV589826 GDZ589826 FUD589826 FKH589826 FAL589826 EQP589826 EGT589826 DWX589826 DNB589826 DDF589826 CTJ589826 CJN589826 BZR589826 BPV589826 BFZ589826 AWD589826 AMH589826 ACL589826 SP589826 IT589826 C589828 WVF524290 WLJ524290 WBN524290 VRR524290 VHV524290 UXZ524290 UOD524290 UEH524290 TUL524290 TKP524290 TAT524290 SQX524290 SHB524290 RXF524290 RNJ524290 RDN524290 QTR524290 QJV524290 PZZ524290 PQD524290 PGH524290 OWL524290 OMP524290 OCT524290 NSX524290 NJB524290 MZF524290 MPJ524290 MFN524290 LVR524290 LLV524290 LBZ524290 KSD524290 KIH524290 JYL524290 JOP524290 JET524290 IUX524290 ILB524290 IBF524290 HRJ524290 HHN524290 GXR524290 GNV524290 GDZ524290 FUD524290 FKH524290 FAL524290 EQP524290 EGT524290 DWX524290 DNB524290 DDF524290 CTJ524290 CJN524290 BZR524290 BPV524290 BFZ524290 AWD524290 AMH524290 ACL524290 SP524290 IT524290 C524292 WVF458754 WLJ458754 WBN458754 VRR458754 VHV458754 UXZ458754 UOD458754 UEH458754 TUL458754 TKP458754 TAT458754 SQX458754 SHB458754 RXF458754 RNJ458754 RDN458754 QTR458754 QJV458754 PZZ458754 PQD458754 PGH458754 OWL458754 OMP458754 OCT458754 NSX458754 NJB458754 MZF458754 MPJ458754 MFN458754 LVR458754 LLV458754 LBZ458754 KSD458754 KIH458754 JYL458754 JOP458754 JET458754 IUX458754 ILB458754 IBF458754 HRJ458754 HHN458754 GXR458754 GNV458754 GDZ458754 FUD458754 FKH458754 FAL458754 EQP458754 EGT458754 DWX458754 DNB458754 DDF458754 CTJ458754 CJN458754 BZR458754 BPV458754 BFZ458754 AWD458754 AMH458754 ACL458754 SP458754 IT458754 C458756 WVF393218 WLJ393218 WBN393218 VRR393218 VHV393218 UXZ393218 UOD393218 UEH393218 TUL393218 TKP393218 TAT393218 SQX393218 SHB393218 RXF393218 RNJ393218 RDN393218 QTR393218 QJV393218 PZZ393218 PQD393218 PGH393218 OWL393218 OMP393218 OCT393218 NSX393218 NJB393218 MZF393218 MPJ393218 MFN393218 LVR393218 LLV393218 LBZ393218 KSD393218 KIH393218 JYL393218 JOP393218 JET393218 IUX393218 ILB393218 IBF393218 HRJ393218 HHN393218 GXR393218 GNV393218 GDZ393218 FUD393218 FKH393218 FAL393218 EQP393218 EGT393218 DWX393218 DNB393218 DDF393218 CTJ393218 CJN393218 BZR393218 BPV393218 BFZ393218 AWD393218 AMH393218 ACL393218 SP393218 IT393218 C393220 WVF327682 WLJ327682 WBN327682 VRR327682 VHV327682 UXZ327682 UOD327682 UEH327682 TUL327682 TKP327682 TAT327682 SQX327682 SHB327682 RXF327682 RNJ327682 RDN327682 QTR327682 QJV327682 PZZ327682 PQD327682 PGH327682 OWL327682 OMP327682 OCT327682 NSX327682 NJB327682 MZF327682 MPJ327682 MFN327682 LVR327682 LLV327682 LBZ327682 KSD327682 KIH327682 JYL327682 JOP327682 JET327682 IUX327682 ILB327682 IBF327682 HRJ327682 HHN327682 GXR327682 GNV327682 GDZ327682 FUD327682 FKH327682 FAL327682 EQP327682 EGT327682 DWX327682 DNB327682 DDF327682 CTJ327682 CJN327682 BZR327682 BPV327682 BFZ327682 AWD327682 AMH327682 ACL327682 SP327682 IT327682 C327684 WVF262146 WLJ262146 WBN262146 VRR262146 VHV262146 UXZ262146 UOD262146 UEH262146 TUL262146 TKP262146 TAT262146 SQX262146 SHB262146 RXF262146 RNJ262146 RDN262146 QTR262146 QJV262146 PZZ262146 PQD262146 PGH262146 OWL262146 OMP262146 OCT262146 NSX262146 NJB262146 MZF262146 MPJ262146 MFN262146 LVR262146 LLV262146 LBZ262146 KSD262146 KIH262146 JYL262146 JOP262146 JET262146 IUX262146 ILB262146 IBF262146 HRJ262146 HHN262146 GXR262146 GNV262146 GDZ262146 FUD262146 FKH262146 FAL262146 EQP262146 EGT262146 DWX262146 DNB262146 DDF262146 CTJ262146 CJN262146 BZR262146 BPV262146 BFZ262146 AWD262146 AMH262146 ACL262146 SP262146 IT262146 C262148 WVF196610 WLJ196610 WBN196610 VRR196610 VHV196610 UXZ196610 UOD196610 UEH196610 TUL196610 TKP196610 TAT196610 SQX196610 SHB196610 RXF196610 RNJ196610 RDN196610 QTR196610 QJV196610 PZZ196610 PQD196610 PGH196610 OWL196610 OMP196610 OCT196610 NSX196610 NJB196610 MZF196610 MPJ196610 MFN196610 LVR196610 LLV196610 LBZ196610 KSD196610 KIH196610 JYL196610 JOP196610 JET196610 IUX196610 ILB196610 IBF196610 HRJ196610 HHN196610 GXR196610 GNV196610 GDZ196610 FUD196610 FKH196610 FAL196610 EQP196610 EGT196610 DWX196610 DNB196610 DDF196610 CTJ196610 CJN196610 BZR196610 BPV196610 BFZ196610 AWD196610 AMH196610 ACL196610 SP196610 IT196610 C196612 WVF131074 WLJ131074 WBN131074 VRR131074 VHV131074 UXZ131074 UOD131074 UEH131074 TUL131074 TKP131074 TAT131074 SQX131074 SHB131074 RXF131074 RNJ131074 RDN131074 QTR131074 QJV131074 PZZ131074 PQD131074 PGH131074 OWL131074 OMP131074 OCT131074 NSX131074 NJB131074 MZF131074 MPJ131074 MFN131074 LVR131074 LLV131074 LBZ131074 KSD131074 KIH131074 JYL131074 JOP131074 JET131074 IUX131074 ILB131074 IBF131074 HRJ131074 HHN131074 GXR131074 GNV131074 GDZ131074 FUD131074 FKH131074 FAL131074 EQP131074 EGT131074 DWX131074 DNB131074 DDF131074 CTJ131074 CJN131074 BZR131074 BPV131074 BFZ131074 AWD131074 AMH131074 ACL131074 SP131074 IT131074 C131076 WVF65538 WLJ65538 WBN65538 VRR65538 VHV65538 UXZ65538 UOD65538 UEH65538 TUL65538 TKP65538 TAT65538 SQX65538 SHB65538 RXF65538 RNJ65538 RDN65538 QTR65538 QJV65538 PZZ65538 PQD65538 PGH65538 OWL65538 OMP65538 OCT65538 NSX65538 NJB65538 MZF65538 MPJ65538 MFN65538 LVR65538 LLV65538 LBZ65538 KSD65538 KIH65538 JYL65538 JOP65538 JET65538 IUX65538 ILB65538 IBF65538 HRJ65538 HHN65538 GXR65538 GNV65538 GDZ65538 FUD65538 FKH65538 FAL65538 EQP65538 EGT65538 DWX65538 DNB65538 DDF65538 CTJ65538 CJN65538 BZR65538 BPV65538 BFZ65538 AWD65538 AMH65538 ACL65538 SP65538 IT65538 C65540 WVF983040 WLJ983040 WBN983040 VRR983040 VHV983040 UXZ983040 UOD983040 UEH983040 TUL983040 TKP983040 TAT983040 SQX983040 SHB983040 RXF983040 RNJ983040 RDN983040 QTR983040 QJV983040 PZZ983040 PQD983040 PGH983040 OWL983040 OMP983040 OCT983040 NSX983040 NJB983040 MZF983040 MPJ983040 MFN983040 LVR983040 LLV983040 LBZ983040 KSD983040 KIH983040 JYL983040 JOP983040 JET983040 IUX983040 ILB983040 IBF983040 HRJ983040 HHN983040 GXR983040 GNV983040 GDZ983040 FUD983040 FKH983040 FAL983040 EQP983040 EGT983040 DWX983040 DNB983040 DDF983040 CTJ983040 CJN983040 BZR983040 BPV983040 BFZ983040 AWD983040 AMH983040 ACL983040 SP983040 IT983040 C983042 WVF917504 WLJ917504 WBN917504 VRR917504 VHV917504 UXZ917504 UOD917504 UEH917504 TUL917504 TKP917504 TAT917504 SQX917504 SHB917504 RXF917504 RNJ917504 RDN917504 QTR917504 QJV917504 PZZ917504 PQD917504 PGH917504 OWL917504 OMP917504 OCT917504 NSX917504 NJB917504 MZF917504 MPJ917504 MFN917504 LVR917504 LLV917504 LBZ917504 KSD917504 KIH917504 JYL917504 JOP917504 JET917504 IUX917504 ILB917504 IBF917504 HRJ917504 HHN917504 GXR917504 GNV917504 GDZ917504 FUD917504 FKH917504 FAL917504 EQP917504 EGT917504 DWX917504 DNB917504 DDF917504 CTJ917504 CJN917504 BZR917504 BPV917504 BFZ917504 AWD917504 AMH917504 ACL917504 SP917504 IT917504 C917506 WVF851968 WLJ851968 WBN851968 VRR851968 VHV851968 UXZ851968 UOD851968 UEH851968 TUL851968 TKP851968 TAT851968 SQX851968 SHB851968 RXF851968 RNJ851968 RDN851968 QTR851968 QJV851968 PZZ851968 PQD851968 PGH851968 OWL851968 OMP851968 OCT851968 NSX851968 NJB851968 MZF851968 MPJ851968 MFN851968 LVR851968 LLV851968 LBZ851968 KSD851968 KIH851968 JYL851968 JOP851968 JET851968 IUX851968 ILB851968 IBF851968 HRJ851968 HHN851968 GXR851968 GNV851968 GDZ851968 FUD851968 FKH851968 FAL851968 EQP851968 EGT851968 DWX851968 DNB851968 DDF851968 CTJ851968 CJN851968 BZR851968 BPV851968 BFZ851968 AWD851968 AMH851968 ACL851968 SP851968 IT851968 C851970 WVF786432 WLJ786432 WBN786432 VRR786432 VHV786432 UXZ786432 UOD786432 UEH786432 TUL786432 TKP786432 TAT786432 SQX786432 SHB786432 RXF786432 RNJ786432 RDN786432 QTR786432 QJV786432 PZZ786432 PQD786432 PGH786432 OWL786432 OMP786432 OCT786432 NSX786432 NJB786432 MZF786432 MPJ786432 MFN786432 LVR786432 LLV786432 LBZ786432 KSD786432 KIH786432 JYL786432 JOP786432 JET786432 IUX786432 ILB786432 IBF786432 HRJ786432 HHN786432 GXR786432 GNV786432 GDZ786432 FUD786432 FKH786432 FAL786432 EQP786432 EGT786432 DWX786432 DNB786432 DDF786432 CTJ786432 CJN786432 BZR786432 BPV786432 BFZ786432 AWD786432 AMH786432 ACL786432 SP786432 IT786432 C786434 WVF720896 WLJ720896 WBN720896 VRR720896 VHV720896 UXZ720896 UOD720896 UEH720896 TUL720896 TKP720896 TAT720896 SQX720896 SHB720896 RXF720896 RNJ720896 RDN720896 QTR720896 QJV720896 PZZ720896 PQD720896 PGH720896 OWL720896 OMP720896 OCT720896 NSX720896 NJB720896 MZF720896 MPJ720896 MFN720896 LVR720896 LLV720896 LBZ720896 KSD720896 KIH720896 JYL720896 JOP720896 JET720896 IUX720896 ILB720896 IBF720896 HRJ720896 HHN720896 GXR720896 GNV720896 GDZ720896 FUD720896 FKH720896 FAL720896 EQP720896 EGT720896 DWX720896 DNB720896 DDF720896 CTJ720896 CJN720896 BZR720896 BPV720896 BFZ720896 AWD720896 AMH720896 ACL720896 SP720896 IT720896 C720898 WVF655360 WLJ655360 WBN655360 VRR655360 VHV655360 UXZ655360 UOD655360 UEH655360 TUL655360 TKP655360 TAT655360 SQX655360 SHB655360 RXF655360 RNJ655360 RDN655360 QTR655360 QJV655360 PZZ655360 PQD655360 PGH655360 OWL655360 OMP655360 OCT655360 NSX655360 NJB655360 MZF655360 MPJ655360 MFN655360 LVR655360 LLV655360 LBZ655360 KSD655360 KIH655360 JYL655360 JOP655360 JET655360 IUX655360 ILB655360 IBF655360 HRJ655360 HHN655360 GXR655360 GNV655360 GDZ655360 FUD655360 FKH655360 FAL655360 EQP655360 EGT655360 DWX655360 DNB655360 DDF655360 CTJ655360 CJN655360 BZR655360 BPV655360 BFZ655360 AWD655360 AMH655360 ACL655360 SP655360 IT655360 C655362 WVF589824 WLJ589824 WBN589824 VRR589824 VHV589824 UXZ589824 UOD589824 UEH589824 TUL589824 TKP589824 TAT589824 SQX589824 SHB589824 RXF589824 RNJ589824 RDN589824 QTR589824 QJV589824 PZZ589824 PQD589824 PGH589824 OWL589824 OMP589824 OCT589824 NSX589824 NJB589824 MZF589824 MPJ589824 MFN589824 LVR589824 LLV589824 LBZ589824 KSD589824 KIH589824 JYL589824 JOP589824 JET589824 IUX589824 ILB589824 IBF589824 HRJ589824 HHN589824 GXR589824 GNV589824 GDZ589824 FUD589824 FKH589824 FAL589824 EQP589824 EGT589824 DWX589824 DNB589824 DDF589824 CTJ589824 CJN589824 BZR589824 BPV589824 BFZ589824 AWD589824 AMH589824 ACL589824 SP589824 IT589824 C589826 WVF524288 WLJ524288 WBN524288 VRR524288 VHV524288 UXZ524288 UOD524288 UEH524288 TUL524288 TKP524288 TAT524288 SQX524288 SHB524288 RXF524288 RNJ524288 RDN524288 QTR524288 QJV524288 PZZ524288 PQD524288 PGH524288 OWL524288 OMP524288 OCT524288 NSX524288 NJB524288 MZF524288 MPJ524288 MFN524288 LVR524288 LLV524288 LBZ524288 KSD524288 KIH524288 JYL524288 JOP524288 JET524288 IUX524288 ILB524288 IBF524288 HRJ524288 HHN524288 GXR524288 GNV524288 GDZ524288 FUD524288 FKH524288 FAL524288 EQP524288 EGT524288 DWX524288 DNB524288 DDF524288 CTJ524288 CJN524288 BZR524288 BPV524288 BFZ524288 AWD524288 AMH524288 ACL524288 SP524288 IT524288 C524290 WVF458752 WLJ458752 WBN458752 VRR458752 VHV458752 UXZ458752 UOD458752 UEH458752 TUL458752 TKP458752 TAT458752 SQX458752 SHB458752 RXF458752 RNJ458752 RDN458752 QTR458752 QJV458752 PZZ458752 PQD458752 PGH458752 OWL458752 OMP458752 OCT458752 NSX458752 NJB458752 MZF458752 MPJ458752 MFN458752 LVR458752 LLV458752 LBZ458752 KSD458752 KIH458752 JYL458752 JOP458752 JET458752 IUX458752 ILB458752 IBF458752 HRJ458752 HHN458752 GXR458752 GNV458752 GDZ458752 FUD458752 FKH458752 FAL458752 EQP458752 EGT458752 DWX458752 DNB458752 DDF458752 CTJ458752 CJN458752 BZR458752 BPV458752 BFZ458752 AWD458752 AMH458752 ACL458752 SP458752 IT458752 C458754 WVF393216 WLJ393216 WBN393216 VRR393216 VHV393216 UXZ393216 UOD393216 UEH393216 TUL393216 TKP393216 TAT393216 SQX393216 SHB393216 RXF393216 RNJ393216 RDN393216 QTR393216 QJV393216 PZZ393216 PQD393216 PGH393216 OWL393216 OMP393216 OCT393216 NSX393216 NJB393216 MZF393216 MPJ393216 MFN393216 LVR393216 LLV393216 LBZ393216 KSD393216 KIH393216 JYL393216 JOP393216 JET393216 IUX393216 ILB393216 IBF393216 HRJ393216 HHN393216 GXR393216 GNV393216 GDZ393216 FUD393216 FKH393216 FAL393216 EQP393216 EGT393216 DWX393216 DNB393216 DDF393216 CTJ393216 CJN393216 BZR393216 BPV393216 BFZ393216 AWD393216 AMH393216 ACL393216 SP393216 IT393216 C393218 WVF327680 WLJ327680 WBN327680 VRR327680 VHV327680 UXZ327680 UOD327680 UEH327680 TUL327680 TKP327680 TAT327680 SQX327680 SHB327680 RXF327680 RNJ327680 RDN327680 QTR327680 QJV327680 PZZ327680 PQD327680 PGH327680 OWL327680 OMP327680 OCT327680 NSX327680 NJB327680 MZF327680 MPJ327680 MFN327680 LVR327680 LLV327680 LBZ327680 KSD327680 KIH327680 JYL327680 JOP327680 JET327680 IUX327680 ILB327680 IBF327680 HRJ327680 HHN327680 GXR327680 GNV327680 GDZ327680 FUD327680 FKH327680 FAL327680 EQP327680 EGT327680 DWX327680 DNB327680 DDF327680 CTJ327680 CJN327680 BZR327680 BPV327680 BFZ327680 AWD327680 AMH327680 ACL327680 SP327680 IT327680 C327682 WVF262144 WLJ262144 WBN262144 VRR262144 VHV262144 UXZ262144 UOD262144 UEH262144 TUL262144 TKP262144 TAT262144 SQX262144 SHB262144 RXF262144 RNJ262144 RDN262144 QTR262144 QJV262144 PZZ262144 PQD262144 PGH262144 OWL262144 OMP262144 OCT262144 NSX262144 NJB262144 MZF262144 MPJ262144 MFN262144 LVR262144 LLV262144 LBZ262144 KSD262144 KIH262144 JYL262144 JOP262144 JET262144 IUX262144 ILB262144 IBF262144 HRJ262144 HHN262144 GXR262144 GNV262144 GDZ262144 FUD262144 FKH262144 FAL262144 EQP262144 EGT262144 DWX262144 DNB262144 DDF262144 CTJ262144 CJN262144 BZR262144 BPV262144 BFZ262144 AWD262144 AMH262144 ACL262144 SP262144 IT262144 C262146 WVF196608 WLJ196608 WBN196608 VRR196608 VHV196608 UXZ196608 UOD196608 UEH196608 TUL196608 TKP196608 TAT196608 SQX196608 SHB196608 RXF196608 RNJ196608 RDN196608 QTR196608 QJV196608 PZZ196608 PQD196608 PGH196608 OWL196608 OMP196608 OCT196608 NSX196608 NJB196608 MZF196608 MPJ196608 MFN196608 LVR196608 LLV196608 LBZ196608 KSD196608 KIH196608 JYL196608 JOP196608 JET196608 IUX196608 ILB196608 IBF196608 HRJ196608 HHN196608 GXR196608 GNV196608 GDZ196608 FUD196608 FKH196608 FAL196608 EQP196608 EGT196608 DWX196608 DNB196608 DDF196608 CTJ196608 CJN196608 BZR196608 BPV196608 BFZ196608 AWD196608 AMH196608 ACL196608 SP196608 IT196608 C196610 WVF131072 WLJ131072 WBN131072 VRR131072 VHV131072 UXZ131072 UOD131072 UEH131072 TUL131072 TKP131072 TAT131072 SQX131072 SHB131072 RXF131072 RNJ131072 RDN131072 QTR131072 QJV131072 PZZ131072 PQD131072 PGH131072 OWL131072 OMP131072 OCT131072 NSX131072 NJB131072 MZF131072 MPJ131072 MFN131072 LVR131072 LLV131072 LBZ131072 KSD131072 KIH131072 JYL131072 JOP131072 JET131072 IUX131072 ILB131072 IBF131072 HRJ131072 HHN131072 GXR131072 GNV131072 GDZ131072 FUD131072 FKH131072 FAL131072 EQP131072 EGT131072 DWX131072 DNB131072 DDF131072 CTJ131072 CJN131072 BZR131072 BPV131072 BFZ131072 AWD131072 AMH131072 ACL131072 SP131072 IT131072 C131074 WVF65536 WLJ65536 WBN65536 VRR65536 VHV65536 UXZ65536 UOD65536 UEH65536 TUL65536 TKP65536 TAT65536 SQX65536 SHB65536 RXF65536 RNJ65536 RDN65536 QTR65536 QJV65536 PZZ65536 PQD65536 PGH65536 OWL65536 OMP65536 OCT65536 NSX65536 NJB65536 MZF65536 MPJ65536 MFN65536 LVR65536 LLV65536 LBZ65536 KSD65536 KIH65536 JYL65536 JOP65536 JET65536 IUX65536 ILB65536 IBF65536 HRJ65536 HHN65536 GXR65536 GNV65536 GDZ65536 FUD65536 FKH65536 FAL65536 EQP65536 EGT65536 DWX65536 DNB65536 DDF65536 CTJ65536 CJN65536 BZR65536 BPV65536 BFZ65536 AWD65536 AMH65536 ACL65536 SP65536">
      <formula1>$D$296:$D$303</formula1>
    </dataValidation>
    <dataValidation type="list" showInputMessage="1" showErrorMessage="1" sqref="IT65546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SP65546 ACL65546 AMH65546 AWD65546 BFZ65546 BPV65546 BZR65546 CJN65546 CTJ65546 DDF65546 DNB65546 DWX65546 EGT65546 EQP65546 FAL65546 FKH65546 FUD65546 GDZ65546 GNV65546 GXR65546 HHN65546 HRJ65546 IBF65546 ILB65546 IUX65546 JET65546 JOP65546 JYL65546 KIH65546 KSD65546 LBZ65546 LLV65546 LVR65546 MFN65546 MPJ65546 MZF65546 NJB65546 NSX65546 OCT65546 OMP65546 OWL65546 PGH65546 PQD65546 PZZ65546 QJV65546 QTR65546 RDN65546 RNJ65546 RXF65546 SHB65546 SQX65546 TAT65546 TKP65546 TUL65546 UEH65546 UOD65546 UXZ65546 VHV65546 VRR65546 WBN65546 WLJ65546 WVF65546 IT131082 SP131082 ACL131082 AMH131082 AWD131082 BFZ131082 BPV131082 BZR131082 CJN131082 CTJ131082 DDF131082 DNB131082 DWX131082 EGT131082 EQP131082 FAL131082 FKH131082 FUD131082 GDZ131082 GNV131082 GXR131082 HHN131082 HRJ131082 IBF131082 ILB131082 IUX131082 JET131082 JOP131082 JYL131082 KIH131082 KSD131082 LBZ131082 LLV131082 LVR131082 MFN131082 MPJ131082 MZF131082 NJB131082 NSX131082 OCT131082 OMP131082 OWL131082 PGH131082 PQD131082 PZZ131082 QJV131082 QTR131082 RDN131082 RNJ131082 RXF131082 SHB131082 SQX131082 TAT131082 TKP131082 TUL131082 UEH131082 UOD131082 UXZ131082 VHV131082 VRR131082 WBN131082 WLJ131082 WVF131082 IT196618 SP196618 ACL196618 AMH196618 AWD196618 BFZ196618 BPV196618 BZR196618 CJN196618 CTJ196618 DDF196618 DNB196618 DWX196618 EGT196618 EQP196618 FAL196618 FKH196618 FUD196618 GDZ196618 GNV196618 GXR196618 HHN196618 HRJ196618 IBF196618 ILB196618 IUX196618 JET196618 JOP196618 JYL196618 KIH196618 KSD196618 LBZ196618 LLV196618 LVR196618 MFN196618 MPJ196618 MZF196618 NJB196618 NSX196618 OCT196618 OMP196618 OWL196618 PGH196618 PQD196618 PZZ196618 QJV196618 QTR196618 RDN196618 RNJ196618 RXF196618 SHB196618 SQX196618 TAT196618 TKP196618 TUL196618 UEH196618 UOD196618 UXZ196618 VHV196618 VRR196618 WBN196618 WLJ196618 WVF196618 IT262154 SP262154 ACL262154 AMH262154 AWD262154 BFZ262154 BPV262154 BZR262154 CJN262154 CTJ262154 DDF262154 DNB262154 DWX262154 EGT262154 EQP262154 FAL262154 FKH262154 FUD262154 GDZ262154 GNV262154 GXR262154 HHN262154 HRJ262154 IBF262154 ILB262154 IUX262154 JET262154 JOP262154 JYL262154 KIH262154 KSD262154 LBZ262154 LLV262154 LVR262154 MFN262154 MPJ262154 MZF262154 NJB262154 NSX262154 OCT262154 OMP262154 OWL262154 PGH262154 PQD262154 PZZ262154 QJV262154 QTR262154 RDN262154 RNJ262154 RXF262154 SHB262154 SQX262154 TAT262154 TKP262154 TUL262154 UEH262154 UOD262154 UXZ262154 VHV262154 VRR262154 WBN262154 WLJ262154 WVF262154 IT327690 SP327690 ACL327690 AMH327690 AWD327690 BFZ327690 BPV327690 BZR327690 CJN327690 CTJ327690 DDF327690 DNB327690 DWX327690 EGT327690 EQP327690 FAL327690 FKH327690 FUD327690 GDZ327690 GNV327690 GXR327690 HHN327690 HRJ327690 IBF327690 ILB327690 IUX327690 JET327690 JOP327690 JYL327690 KIH327690 KSD327690 LBZ327690 LLV327690 LVR327690 MFN327690 MPJ327690 MZF327690 NJB327690 NSX327690 OCT327690 OMP327690 OWL327690 PGH327690 PQD327690 PZZ327690 QJV327690 QTR327690 RDN327690 RNJ327690 RXF327690 SHB327690 SQX327690 TAT327690 TKP327690 TUL327690 UEH327690 UOD327690 UXZ327690 VHV327690 VRR327690 WBN327690 WLJ327690 WVF327690 IT393226 SP393226 ACL393226 AMH393226 AWD393226 BFZ393226 BPV393226 BZR393226 CJN393226 CTJ393226 DDF393226 DNB393226 DWX393226 EGT393226 EQP393226 FAL393226 FKH393226 FUD393226 GDZ393226 GNV393226 GXR393226 HHN393226 HRJ393226 IBF393226 ILB393226 IUX393226 JET393226 JOP393226 JYL393226 KIH393226 KSD393226 LBZ393226 LLV393226 LVR393226 MFN393226 MPJ393226 MZF393226 NJB393226 NSX393226 OCT393226 OMP393226 OWL393226 PGH393226 PQD393226 PZZ393226 QJV393226 QTR393226 RDN393226 RNJ393226 RXF393226 SHB393226 SQX393226 TAT393226 TKP393226 TUL393226 UEH393226 UOD393226 UXZ393226 VHV393226 VRR393226 WBN393226 WLJ393226 WVF393226 IT458762 SP458762 ACL458762 AMH458762 AWD458762 BFZ458762 BPV458762 BZR458762 CJN458762 CTJ458762 DDF458762 DNB458762 DWX458762 EGT458762 EQP458762 FAL458762 FKH458762 FUD458762 GDZ458762 GNV458762 GXR458762 HHN458762 HRJ458762 IBF458762 ILB458762 IUX458762 JET458762 JOP458762 JYL458762 KIH458762 KSD458762 LBZ458762 LLV458762 LVR458762 MFN458762 MPJ458762 MZF458762 NJB458762 NSX458762 OCT458762 OMP458762 OWL458762 PGH458762 PQD458762 PZZ458762 QJV458762 QTR458762 RDN458762 RNJ458762 RXF458762 SHB458762 SQX458762 TAT458762 TKP458762 TUL458762 UEH458762 UOD458762 UXZ458762 VHV458762 VRR458762 WBN458762 WLJ458762 WVF458762 IT524298 SP524298 ACL524298 AMH524298 AWD524298 BFZ524298 BPV524298 BZR524298 CJN524298 CTJ524298 DDF524298 DNB524298 DWX524298 EGT524298 EQP524298 FAL524298 FKH524298 FUD524298 GDZ524298 GNV524298 GXR524298 HHN524298 HRJ524298 IBF524298 ILB524298 IUX524298 JET524298 JOP524298 JYL524298 KIH524298 KSD524298 LBZ524298 LLV524298 LVR524298 MFN524298 MPJ524298 MZF524298 NJB524298 NSX524298 OCT524298 OMP524298 OWL524298 PGH524298 PQD524298 PZZ524298 QJV524298 QTR524298 RDN524298 RNJ524298 RXF524298 SHB524298 SQX524298 TAT524298 TKP524298 TUL524298 UEH524298 UOD524298 UXZ524298 VHV524298 VRR524298 WBN524298 WLJ524298 WVF524298 IT589834 SP589834 ACL589834 AMH589834 AWD589834 BFZ589834 BPV589834 BZR589834 CJN589834 CTJ589834 DDF589834 DNB589834 DWX589834 EGT589834 EQP589834 FAL589834 FKH589834 FUD589834 GDZ589834 GNV589834 GXR589834 HHN589834 HRJ589834 IBF589834 ILB589834 IUX589834 JET589834 JOP589834 JYL589834 KIH589834 KSD589834 LBZ589834 LLV589834 LVR589834 MFN589834 MPJ589834 MZF589834 NJB589834 NSX589834 OCT589834 OMP589834 OWL589834 PGH589834 PQD589834 PZZ589834 QJV589834 QTR589834 RDN589834 RNJ589834 RXF589834 SHB589834 SQX589834 TAT589834 TKP589834 TUL589834 UEH589834 UOD589834 UXZ589834 VHV589834 VRR589834 WBN589834 WLJ589834 WVF589834 IT655370 SP655370 ACL655370 AMH655370 AWD655370 BFZ655370 BPV655370 BZR655370 CJN655370 CTJ655370 DDF655370 DNB655370 DWX655370 EGT655370 EQP655370 FAL655370 FKH655370 FUD655370 GDZ655370 GNV655370 GXR655370 HHN655370 HRJ655370 IBF655370 ILB655370 IUX655370 JET655370 JOP655370 JYL655370 KIH655370 KSD655370 LBZ655370 LLV655370 LVR655370 MFN655370 MPJ655370 MZF655370 NJB655370 NSX655370 OCT655370 OMP655370 OWL655370 PGH655370 PQD655370 PZZ655370 QJV655370 QTR655370 RDN655370 RNJ655370 RXF655370 SHB655370 SQX655370 TAT655370 TKP655370 TUL655370 UEH655370 UOD655370 UXZ655370 VHV655370 VRR655370 WBN655370 WLJ655370 WVF655370 IT720906 SP720906 ACL720906 AMH720906 AWD720906 BFZ720906 BPV720906 BZR720906 CJN720906 CTJ720906 DDF720906 DNB720906 DWX720906 EGT720906 EQP720906 FAL720906 FKH720906 FUD720906 GDZ720906 GNV720906 GXR720906 HHN720906 HRJ720906 IBF720906 ILB720906 IUX720906 JET720906 JOP720906 JYL720906 KIH720906 KSD720906 LBZ720906 LLV720906 LVR720906 MFN720906 MPJ720906 MZF720906 NJB720906 NSX720906 OCT720906 OMP720906 OWL720906 PGH720906 PQD720906 PZZ720906 QJV720906 QTR720906 RDN720906 RNJ720906 RXF720906 SHB720906 SQX720906 TAT720906 TKP720906 TUL720906 UEH720906 UOD720906 UXZ720906 VHV720906 VRR720906 WBN720906 WLJ720906 WVF720906 IT786442 SP786442 ACL786442 AMH786442 AWD786442 BFZ786442 BPV786442 BZR786442 CJN786442 CTJ786442 DDF786442 DNB786442 DWX786442 EGT786442 EQP786442 FAL786442 FKH786442 FUD786442 GDZ786442 GNV786442 GXR786442 HHN786442 HRJ786442 IBF786442 ILB786442 IUX786442 JET786442 JOP786442 JYL786442 KIH786442 KSD786442 LBZ786442 LLV786442 LVR786442 MFN786442 MPJ786442 MZF786442 NJB786442 NSX786442 OCT786442 OMP786442 OWL786442 PGH786442 PQD786442 PZZ786442 QJV786442 QTR786442 RDN786442 RNJ786442 RXF786442 SHB786442 SQX786442 TAT786442 TKP786442 TUL786442 UEH786442 UOD786442 UXZ786442 VHV786442 VRR786442 WBN786442 WLJ786442 WVF786442 IT851978 SP851978 ACL851978 AMH851978 AWD851978 BFZ851978 BPV851978 BZR851978 CJN851978 CTJ851978 DDF851978 DNB851978 DWX851978 EGT851978 EQP851978 FAL851978 FKH851978 FUD851978 GDZ851978 GNV851978 GXR851978 HHN851978 HRJ851978 IBF851978 ILB851978 IUX851978 JET851978 JOP851978 JYL851978 KIH851978 KSD851978 LBZ851978 LLV851978 LVR851978 MFN851978 MPJ851978 MZF851978 NJB851978 NSX851978 OCT851978 OMP851978 OWL851978 PGH851978 PQD851978 PZZ851978 QJV851978 QTR851978 RDN851978 RNJ851978 RXF851978 SHB851978 SQX851978 TAT851978 TKP851978 TUL851978 UEH851978 UOD851978 UXZ851978 VHV851978 VRR851978 WBN851978 WLJ851978 WVF851978 IT917514 SP917514 ACL917514 AMH917514 AWD917514 BFZ917514 BPV917514 BZR917514 CJN917514 CTJ917514 DDF917514 DNB917514 DWX917514 EGT917514 EQP917514 FAL917514 FKH917514 FUD917514 GDZ917514 GNV917514 GXR917514 HHN917514 HRJ917514 IBF917514 ILB917514 IUX917514 JET917514 JOP917514 JYL917514 KIH917514 KSD917514 LBZ917514 LLV917514 LVR917514 MFN917514 MPJ917514 MZF917514 NJB917514 NSX917514 OCT917514 OMP917514 OWL917514 PGH917514 PQD917514 PZZ917514 QJV917514 QTR917514 RDN917514 RNJ917514 RXF917514 SHB917514 SQX917514 TAT917514 TKP917514 TUL917514 UEH917514 UOD917514 UXZ917514 VHV917514 VRR917514 WBN917514 WLJ917514 WVF917514 IT983050 SP983050 ACL983050 AMH983050 AWD983050 BFZ983050 BPV983050 BZR983050 CJN983050 CTJ983050 DDF983050 DNB983050 DWX983050 EGT983050 EQP983050 FAL983050 FKH983050 FUD983050 GDZ983050 GNV983050 GXR983050 HHN983050 HRJ983050 IBF983050 ILB983050 IUX983050 JET983050 JOP983050 JYL983050 KIH983050 KSD983050 LBZ983050 LLV983050 LVR983050 MFN983050 MPJ983050 MZF983050 NJB983050 NSX983050 OCT983050 OMP983050 OWL983050 PGH983050 PQD983050 PZZ983050 QJV983050 QTR983050 RDN983050 RNJ983050 RXF983050 SHB983050 SQX983050 TAT983050 TKP983050 TUL983050 UEH983050 UOD983050 UXZ983050 VHV983050 VRR983050 WBN983050 WLJ983050 WVF983050 IT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SP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ACL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AMH7 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WLL7 WVH7 C65548:G65548 IV65546 SR65546 ACN65546 AMJ65546 AWF65546 BGB65546 BPX65546 BZT65546 CJP65546 CTL65546 DDH65546 DND65546 DWZ65546 EGV65546 EQR65546 FAN65546 FKJ65546 FUF65546 GEB65546 GNX65546 GXT65546 HHP65546 HRL65546 IBH65546 ILD65546 IUZ65546 JEV65546 JOR65546 JYN65546 KIJ65546 KSF65546 LCB65546 LLX65546 LVT65546 MFP65546 MPL65546 MZH65546 NJD65546 NSZ65546 OCV65546 OMR65546 OWN65546 PGJ65546 PQF65546 QAB65546 QJX65546 QTT65546 RDP65546 RNL65546 RXH65546 SHD65546 SQZ65546 TAV65546 TKR65546 TUN65546 UEJ65546 UOF65546 UYB65546 VHX65546 VRT65546 WBP65546 WLL65546 WVH65546 C131084:G131084 IV131082 SR131082 ACN131082 AMJ131082 AWF131082 BGB131082 BPX131082 BZT131082 CJP131082 CTL131082 DDH131082 DND131082 DWZ131082 EGV131082 EQR131082 FAN131082 FKJ131082 FUF131082 GEB131082 GNX131082 GXT131082 HHP131082 HRL131082 IBH131082 ILD131082 IUZ131082 JEV131082 JOR131082 JYN131082 KIJ131082 KSF131082 LCB131082 LLX131082 LVT131082 MFP131082 MPL131082 MZH131082 NJD131082 NSZ131082 OCV131082 OMR131082 OWN131082 PGJ131082 PQF131082 QAB131082 QJX131082 QTT131082 RDP131082 RNL131082 RXH131082 SHD131082 SQZ131082 TAV131082 TKR131082 TUN131082 UEJ131082 UOF131082 UYB131082 VHX131082 VRT131082 WBP131082 WLL131082 WVH131082 C196620:G196620 IV196618 SR196618 ACN196618 AMJ196618 AWF196618 BGB196618 BPX196618 BZT196618 CJP196618 CTL196618 DDH196618 DND196618 DWZ196618 EGV196618 EQR196618 FAN196618 FKJ196618 FUF196618 GEB196618 GNX196618 GXT196618 HHP196618 HRL196618 IBH196618 ILD196618 IUZ196618 JEV196618 JOR196618 JYN196618 KIJ196618 KSF196618 LCB196618 LLX196618 LVT196618 MFP196618 MPL196618 MZH196618 NJD196618 NSZ196618 OCV196618 OMR196618 OWN196618 PGJ196618 PQF196618 QAB196618 QJX196618 QTT196618 RDP196618 RNL196618 RXH196618 SHD196618 SQZ196618 TAV196618 TKR196618 TUN196618 UEJ196618 UOF196618 UYB196618 VHX196618 VRT196618 WBP196618 WLL196618 WVH196618 C262156:G262156 IV262154 SR262154 ACN262154 AMJ262154 AWF262154 BGB262154 BPX262154 BZT262154 CJP262154 CTL262154 DDH262154 DND262154 DWZ262154 EGV262154 EQR262154 FAN262154 FKJ262154 FUF262154 GEB262154 GNX262154 GXT262154 HHP262154 HRL262154 IBH262154 ILD262154 IUZ262154 JEV262154 JOR262154 JYN262154 KIJ262154 KSF262154 LCB262154 LLX262154 LVT262154 MFP262154 MPL262154 MZH262154 NJD262154 NSZ262154 OCV262154 OMR262154 OWN262154 PGJ262154 PQF262154 QAB262154 QJX262154 QTT262154 RDP262154 RNL262154 RXH262154 SHD262154 SQZ262154 TAV262154 TKR262154 TUN262154 UEJ262154 UOF262154 UYB262154 VHX262154 VRT262154 WBP262154 WLL262154 WVH262154 C327692:G327692 IV327690 SR327690 ACN327690 AMJ327690 AWF327690 BGB327690 BPX327690 BZT327690 CJP327690 CTL327690 DDH327690 DND327690 DWZ327690 EGV327690 EQR327690 FAN327690 FKJ327690 FUF327690 GEB327690 GNX327690 GXT327690 HHP327690 HRL327690 IBH327690 ILD327690 IUZ327690 JEV327690 JOR327690 JYN327690 KIJ327690 KSF327690 LCB327690 LLX327690 LVT327690 MFP327690 MPL327690 MZH327690 NJD327690 NSZ327690 OCV327690 OMR327690 OWN327690 PGJ327690 PQF327690 QAB327690 QJX327690 QTT327690 RDP327690 RNL327690 RXH327690 SHD327690 SQZ327690 TAV327690 TKR327690 TUN327690 UEJ327690 UOF327690 UYB327690 VHX327690 VRT327690 WBP327690 WLL327690 WVH327690 C393228:G393228 IV393226 SR393226 ACN393226 AMJ393226 AWF393226 BGB393226 BPX393226 BZT393226 CJP393226 CTL393226 DDH393226 DND393226 DWZ393226 EGV393226 EQR393226 FAN393226 FKJ393226 FUF393226 GEB393226 GNX393226 GXT393226 HHP393226 HRL393226 IBH393226 ILD393226 IUZ393226 JEV393226 JOR393226 JYN393226 KIJ393226 KSF393226 LCB393226 LLX393226 LVT393226 MFP393226 MPL393226 MZH393226 NJD393226 NSZ393226 OCV393226 OMR393226 OWN393226 PGJ393226 PQF393226 QAB393226 QJX393226 QTT393226 RDP393226 RNL393226 RXH393226 SHD393226 SQZ393226 TAV393226 TKR393226 TUN393226 UEJ393226 UOF393226 UYB393226 VHX393226 VRT393226 WBP393226 WLL393226 WVH393226 C458764:G458764 IV458762 SR458762 ACN458762 AMJ458762 AWF458762 BGB458762 BPX458762 BZT458762 CJP458762 CTL458762 DDH458762 DND458762 DWZ458762 EGV458762 EQR458762 FAN458762 FKJ458762 FUF458762 GEB458762 GNX458762 GXT458762 HHP458762 HRL458762 IBH458762 ILD458762 IUZ458762 JEV458762 JOR458762 JYN458762 KIJ458762 KSF458762 LCB458762 LLX458762 LVT458762 MFP458762 MPL458762 MZH458762 NJD458762 NSZ458762 OCV458762 OMR458762 OWN458762 PGJ458762 PQF458762 QAB458762 QJX458762 QTT458762 RDP458762 RNL458762 RXH458762 SHD458762 SQZ458762 TAV458762 TKR458762 TUN458762 UEJ458762 UOF458762 UYB458762 VHX458762 VRT458762 WBP458762 WLL458762 WVH458762 C524300:G524300 IV524298 SR524298 ACN524298 AMJ524298 AWF524298 BGB524298 BPX524298 BZT524298 CJP524298 CTL524298 DDH524298 DND524298 DWZ524298 EGV524298 EQR524298 FAN524298 FKJ524298 FUF524298 GEB524298 GNX524298 GXT524298 HHP524298 HRL524298 IBH524298 ILD524298 IUZ524298 JEV524298 JOR524298 JYN524298 KIJ524298 KSF524298 LCB524298 LLX524298 LVT524298 MFP524298 MPL524298 MZH524298 NJD524298 NSZ524298 OCV524298 OMR524298 OWN524298 PGJ524298 PQF524298 QAB524298 QJX524298 QTT524298 RDP524298 RNL524298 RXH524298 SHD524298 SQZ524298 TAV524298 TKR524298 TUN524298 UEJ524298 UOF524298 UYB524298 VHX524298 VRT524298 WBP524298 WLL524298 WVH524298 C589836:G589836 IV589834 SR589834 ACN589834 AMJ589834 AWF589834 BGB589834 BPX589834 BZT589834 CJP589834 CTL589834 DDH589834 DND589834 DWZ589834 EGV589834 EQR589834 FAN589834 FKJ589834 FUF589834 GEB589834 GNX589834 GXT589834 HHP589834 HRL589834 IBH589834 ILD589834 IUZ589834 JEV589834 JOR589834 JYN589834 KIJ589834 KSF589834 LCB589834 LLX589834 LVT589834 MFP589834 MPL589834 MZH589834 NJD589834 NSZ589834 OCV589834 OMR589834 OWN589834 PGJ589834 PQF589834 QAB589834 QJX589834 QTT589834 RDP589834 RNL589834 RXH589834 SHD589834 SQZ589834 TAV589834 TKR589834 TUN589834 UEJ589834 UOF589834 UYB589834 VHX589834 VRT589834 WBP589834 WLL589834 WVH589834 C655372:G655372 IV655370 SR655370 ACN655370 AMJ655370 AWF655370 BGB655370 BPX655370 BZT655370 CJP655370 CTL655370 DDH655370 DND655370 DWZ655370 EGV655370 EQR655370 FAN655370 FKJ655370 FUF655370 GEB655370 GNX655370 GXT655370 HHP655370 HRL655370 IBH655370 ILD655370 IUZ655370 JEV655370 JOR655370 JYN655370 KIJ655370 KSF655370 LCB655370 LLX655370 LVT655370 MFP655370 MPL655370 MZH655370 NJD655370 NSZ655370 OCV655370 OMR655370 OWN655370 PGJ655370 PQF655370 QAB655370 QJX655370 QTT655370 RDP655370 RNL655370 RXH655370 SHD655370 SQZ655370 TAV655370 TKR655370 TUN655370 UEJ655370 UOF655370 UYB655370 VHX655370 VRT655370 WBP655370 WLL655370 WVH655370 C720908:G720908 IV720906 SR720906 ACN720906 AMJ720906 AWF720906 BGB720906 BPX720906 BZT720906 CJP720906 CTL720906 DDH720906 DND720906 DWZ720906 EGV720906 EQR720906 FAN720906 FKJ720906 FUF720906 GEB720906 GNX720906 GXT720906 HHP720906 HRL720906 IBH720906 ILD720906 IUZ720906 JEV720906 JOR720906 JYN720906 KIJ720906 KSF720906 LCB720906 LLX720906 LVT720906 MFP720906 MPL720906 MZH720906 NJD720906 NSZ720906 OCV720906 OMR720906 OWN720906 PGJ720906 PQF720906 QAB720906 QJX720906 QTT720906 RDP720906 RNL720906 RXH720906 SHD720906 SQZ720906 TAV720906 TKR720906 TUN720906 UEJ720906 UOF720906 UYB720906 VHX720906 VRT720906 WBP720906 WLL720906 WVH720906 C786444:G786444 IV786442 SR786442 ACN786442 AMJ786442 AWF786442 BGB786442 BPX786442 BZT786442 CJP786442 CTL786442 DDH786442 DND786442 DWZ786442 EGV786442 EQR786442 FAN786442 FKJ786442 FUF786442 GEB786442 GNX786442 GXT786442 HHP786442 HRL786442 IBH786442 ILD786442 IUZ786442 JEV786442 JOR786442 JYN786442 KIJ786442 KSF786442 LCB786442 LLX786442 LVT786442 MFP786442 MPL786442 MZH786442 NJD786442 NSZ786442 OCV786442 OMR786442 OWN786442 PGJ786442 PQF786442 QAB786442 QJX786442 QTT786442 RDP786442 RNL786442 RXH786442 SHD786442 SQZ786442 TAV786442 TKR786442 TUN786442 UEJ786442 UOF786442 UYB786442 VHX786442 VRT786442 WBP786442 WLL786442 WVH786442 C851980:G851980 IV851978 SR851978 ACN851978 AMJ851978 AWF851978 BGB851978 BPX851978 BZT851978 CJP851978 CTL851978 DDH851978 DND851978 DWZ851978 EGV851978 EQR851978 FAN851978 FKJ851978 FUF851978 GEB851978 GNX851978 GXT851978 HHP851978 HRL851978 IBH851978 ILD851978 IUZ851978 JEV851978 JOR851978 JYN851978 KIJ851978 KSF851978 LCB851978 LLX851978 LVT851978 MFP851978 MPL851978 MZH851978 NJD851978 NSZ851978 OCV851978 OMR851978 OWN851978 PGJ851978 PQF851978 QAB851978 QJX851978 QTT851978 RDP851978 RNL851978 RXH851978 SHD851978 SQZ851978 TAV851978 TKR851978 TUN851978 UEJ851978 UOF851978 UYB851978 VHX851978 VRT851978 WBP851978 WLL851978 WVH851978 C917516:G917516 IV917514 SR917514 ACN917514 AMJ917514 AWF917514 BGB917514 BPX917514 BZT917514 CJP917514 CTL917514 DDH917514 DND917514 DWZ917514 EGV917514 EQR917514 FAN917514 FKJ917514 FUF917514 GEB917514 GNX917514 GXT917514 HHP917514 HRL917514 IBH917514 ILD917514 IUZ917514 JEV917514 JOR917514 JYN917514 KIJ917514 KSF917514 LCB917514 LLX917514 LVT917514 MFP917514 MPL917514 MZH917514 NJD917514 NSZ917514 OCV917514 OMR917514 OWN917514 PGJ917514 PQF917514 QAB917514 QJX917514 QTT917514 RDP917514 RNL917514 RXH917514 SHD917514 SQZ917514 TAV917514 TKR917514 TUN917514 UEJ917514 UOF917514 UYB917514 VHX917514 VRT917514 WBP917514 WLL917514 WVH917514 C983052:G983052 IV983050 SR983050 ACN983050 AMJ983050 AWF983050 BGB983050 BPX983050 BZT983050 CJP983050 CTL983050 DDH983050 DND983050 DWZ983050 EGV983050 EQR983050 FAN983050 FKJ983050 FUF983050 GEB983050 GNX983050 GXT983050 HHP983050 HRL983050 IBH983050 ILD983050 IUZ983050 JEV983050 JOR983050 JYN983050 KIJ983050 KSF983050 LCB983050 LLX983050 LVT983050 MFP983050 MPL983050 MZH983050 NJD983050 NSZ983050 OCV983050 OMR983050 OWN983050 PGJ983050 PQF983050 QAB983050 QJX983050 QTT983050 RDP983050 RNL983050 RXH983050 SHD983050 SQZ983050 TAV983050 TKR983050 TUN983050 UEJ983050 UOF983050 UYB983050 VHX983050 VRT983050 WBP983050 WLL983050 WVH983050">
      <formula1>$C$35:$C$36</formula1>
    </dataValidation>
    <dataValidation type="date" imeMode="off" allowBlank="1" showInputMessage="1" showErrorMessage="1" errorTitle="入力エラー" error="1971/11/3 や H4/3/21 等の形式で入力してください。" promptTitle="生年月日を入力してください。" prompt="この日付で介護分の対象（40～64歳）か、国保の対象者（74歳まで）かを判定します。" sqref="C7:G7">
      <formula1>1</formula1>
      <formula2>73050</formula2>
    </dataValidation>
    <dataValidation type="list" imeMode="disabled" allowBlank="1" showInputMessage="1" showErrorMessage="1" errorTitle="入力エラー" error="「する」か「しない」で入力してください。" promptTitle="世帯主は国保に加入しますか？" prompt="世帯主が国保加入なら「する」_x000a_世帯主が国保加入しないなら「しない」_x000a_を選んでください。" sqref="D2">
      <formula1>"する,しない"</formula1>
    </dataValidation>
    <dataValidation type="list" allowBlank="1" showInputMessage="1" showErrorMessage="1" sqref="WVD983039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A65537 IR65535 SN65535 ACJ65535 AMF65535 AWB65535 BFX65535 BPT65535 BZP65535 CJL65535 CTH65535 DDD65535 DMZ65535 DWV65535 EGR65535 EQN65535 FAJ65535 FKF65535 FUB65535 GDX65535 GNT65535 GXP65535 HHL65535 HRH65535 IBD65535 IKZ65535 IUV65535 JER65535 JON65535 JYJ65535 KIF65535 KSB65535 LBX65535 LLT65535 LVP65535 MFL65535 MPH65535 MZD65535 NIZ65535 NSV65535 OCR65535 OMN65535 OWJ65535 PGF65535 PQB65535 PZX65535 QJT65535 QTP65535 RDL65535 RNH65535 RXD65535 SGZ65535 SQV65535 TAR65535 TKN65535 TUJ65535 UEF65535 UOB65535 UXX65535 VHT65535 VRP65535 WBL65535 WLH65535 WVD65535 A131073 IR131071 SN131071 ACJ131071 AMF131071 AWB131071 BFX131071 BPT131071 BZP131071 CJL131071 CTH131071 DDD131071 DMZ131071 DWV131071 EGR131071 EQN131071 FAJ131071 FKF131071 FUB131071 GDX131071 GNT131071 GXP131071 HHL131071 HRH131071 IBD131071 IKZ131071 IUV131071 JER131071 JON131071 JYJ131071 KIF131071 KSB131071 LBX131071 LLT131071 LVP131071 MFL131071 MPH131071 MZD131071 NIZ131071 NSV131071 OCR131071 OMN131071 OWJ131071 PGF131071 PQB131071 PZX131071 QJT131071 QTP131071 RDL131071 RNH131071 RXD131071 SGZ131071 SQV131071 TAR131071 TKN131071 TUJ131071 UEF131071 UOB131071 UXX131071 VHT131071 VRP131071 WBL131071 WLH131071 WVD131071 A196609 IR196607 SN196607 ACJ196607 AMF196607 AWB196607 BFX196607 BPT196607 BZP196607 CJL196607 CTH196607 DDD196607 DMZ196607 DWV196607 EGR196607 EQN196607 FAJ196607 FKF196607 FUB196607 GDX196607 GNT196607 GXP196607 HHL196607 HRH196607 IBD196607 IKZ196607 IUV196607 JER196607 JON196607 JYJ196607 KIF196607 KSB196607 LBX196607 LLT196607 LVP196607 MFL196607 MPH196607 MZD196607 NIZ196607 NSV196607 OCR196607 OMN196607 OWJ196607 PGF196607 PQB196607 PZX196607 QJT196607 QTP196607 RDL196607 RNH196607 RXD196607 SGZ196607 SQV196607 TAR196607 TKN196607 TUJ196607 UEF196607 UOB196607 UXX196607 VHT196607 VRP196607 WBL196607 WLH196607 WVD196607 A262145 IR262143 SN262143 ACJ262143 AMF262143 AWB262143 BFX262143 BPT262143 BZP262143 CJL262143 CTH262143 DDD262143 DMZ262143 DWV262143 EGR262143 EQN262143 FAJ262143 FKF262143 FUB262143 GDX262143 GNT262143 GXP262143 HHL262143 HRH262143 IBD262143 IKZ262143 IUV262143 JER262143 JON262143 JYJ262143 KIF262143 KSB262143 LBX262143 LLT262143 LVP262143 MFL262143 MPH262143 MZD262143 NIZ262143 NSV262143 OCR262143 OMN262143 OWJ262143 PGF262143 PQB262143 PZX262143 QJT262143 QTP262143 RDL262143 RNH262143 RXD262143 SGZ262143 SQV262143 TAR262143 TKN262143 TUJ262143 UEF262143 UOB262143 UXX262143 VHT262143 VRP262143 WBL262143 WLH262143 WVD262143 A327681 IR327679 SN327679 ACJ327679 AMF327679 AWB327679 BFX327679 BPT327679 BZP327679 CJL327679 CTH327679 DDD327679 DMZ327679 DWV327679 EGR327679 EQN327679 FAJ327679 FKF327679 FUB327679 GDX327679 GNT327679 GXP327679 HHL327679 HRH327679 IBD327679 IKZ327679 IUV327679 JER327679 JON327679 JYJ327679 KIF327679 KSB327679 LBX327679 LLT327679 LVP327679 MFL327679 MPH327679 MZD327679 NIZ327679 NSV327679 OCR327679 OMN327679 OWJ327679 PGF327679 PQB327679 PZX327679 QJT327679 QTP327679 RDL327679 RNH327679 RXD327679 SGZ327679 SQV327679 TAR327679 TKN327679 TUJ327679 UEF327679 UOB327679 UXX327679 VHT327679 VRP327679 WBL327679 WLH327679 WVD327679 A393217 IR393215 SN393215 ACJ393215 AMF393215 AWB393215 BFX393215 BPT393215 BZP393215 CJL393215 CTH393215 DDD393215 DMZ393215 DWV393215 EGR393215 EQN393215 FAJ393215 FKF393215 FUB393215 GDX393215 GNT393215 GXP393215 HHL393215 HRH393215 IBD393215 IKZ393215 IUV393215 JER393215 JON393215 JYJ393215 KIF393215 KSB393215 LBX393215 LLT393215 LVP393215 MFL393215 MPH393215 MZD393215 NIZ393215 NSV393215 OCR393215 OMN393215 OWJ393215 PGF393215 PQB393215 PZX393215 QJT393215 QTP393215 RDL393215 RNH393215 RXD393215 SGZ393215 SQV393215 TAR393215 TKN393215 TUJ393215 UEF393215 UOB393215 UXX393215 VHT393215 VRP393215 WBL393215 WLH393215 WVD393215 A458753 IR458751 SN458751 ACJ458751 AMF458751 AWB458751 BFX458751 BPT458751 BZP458751 CJL458751 CTH458751 DDD458751 DMZ458751 DWV458751 EGR458751 EQN458751 FAJ458751 FKF458751 FUB458751 GDX458751 GNT458751 GXP458751 HHL458751 HRH458751 IBD458751 IKZ458751 IUV458751 JER458751 JON458751 JYJ458751 KIF458751 KSB458751 LBX458751 LLT458751 LVP458751 MFL458751 MPH458751 MZD458751 NIZ458751 NSV458751 OCR458751 OMN458751 OWJ458751 PGF458751 PQB458751 PZX458751 QJT458751 QTP458751 RDL458751 RNH458751 RXD458751 SGZ458751 SQV458751 TAR458751 TKN458751 TUJ458751 UEF458751 UOB458751 UXX458751 VHT458751 VRP458751 WBL458751 WLH458751 WVD458751 A524289 IR524287 SN524287 ACJ524287 AMF524287 AWB524287 BFX524287 BPT524287 BZP524287 CJL524287 CTH524287 DDD524287 DMZ524287 DWV524287 EGR524287 EQN524287 FAJ524287 FKF524287 FUB524287 GDX524287 GNT524287 GXP524287 HHL524287 HRH524287 IBD524287 IKZ524287 IUV524287 JER524287 JON524287 JYJ524287 KIF524287 KSB524287 LBX524287 LLT524287 LVP524287 MFL524287 MPH524287 MZD524287 NIZ524287 NSV524287 OCR524287 OMN524287 OWJ524287 PGF524287 PQB524287 PZX524287 QJT524287 QTP524287 RDL524287 RNH524287 RXD524287 SGZ524287 SQV524287 TAR524287 TKN524287 TUJ524287 UEF524287 UOB524287 UXX524287 VHT524287 VRP524287 WBL524287 WLH524287 WVD524287 A589825 IR589823 SN589823 ACJ589823 AMF589823 AWB589823 BFX589823 BPT589823 BZP589823 CJL589823 CTH589823 DDD589823 DMZ589823 DWV589823 EGR589823 EQN589823 FAJ589823 FKF589823 FUB589823 GDX589823 GNT589823 GXP589823 HHL589823 HRH589823 IBD589823 IKZ589823 IUV589823 JER589823 JON589823 JYJ589823 KIF589823 KSB589823 LBX589823 LLT589823 LVP589823 MFL589823 MPH589823 MZD589823 NIZ589823 NSV589823 OCR589823 OMN589823 OWJ589823 PGF589823 PQB589823 PZX589823 QJT589823 QTP589823 RDL589823 RNH589823 RXD589823 SGZ589823 SQV589823 TAR589823 TKN589823 TUJ589823 UEF589823 UOB589823 UXX589823 VHT589823 VRP589823 WBL589823 WLH589823 WVD589823 A655361 IR655359 SN655359 ACJ655359 AMF655359 AWB655359 BFX655359 BPT655359 BZP655359 CJL655359 CTH655359 DDD655359 DMZ655359 DWV655359 EGR655359 EQN655359 FAJ655359 FKF655359 FUB655359 GDX655359 GNT655359 GXP655359 HHL655359 HRH655359 IBD655359 IKZ655359 IUV655359 JER655359 JON655359 JYJ655359 KIF655359 KSB655359 LBX655359 LLT655359 LVP655359 MFL655359 MPH655359 MZD655359 NIZ655359 NSV655359 OCR655359 OMN655359 OWJ655359 PGF655359 PQB655359 PZX655359 QJT655359 QTP655359 RDL655359 RNH655359 RXD655359 SGZ655359 SQV655359 TAR655359 TKN655359 TUJ655359 UEF655359 UOB655359 UXX655359 VHT655359 VRP655359 WBL655359 WLH655359 WVD655359 A720897 IR720895 SN720895 ACJ720895 AMF720895 AWB720895 BFX720895 BPT720895 BZP720895 CJL720895 CTH720895 DDD720895 DMZ720895 DWV720895 EGR720895 EQN720895 FAJ720895 FKF720895 FUB720895 GDX720895 GNT720895 GXP720895 HHL720895 HRH720895 IBD720895 IKZ720895 IUV720895 JER720895 JON720895 JYJ720895 KIF720895 KSB720895 LBX720895 LLT720895 LVP720895 MFL720895 MPH720895 MZD720895 NIZ720895 NSV720895 OCR720895 OMN720895 OWJ720895 PGF720895 PQB720895 PZX720895 QJT720895 QTP720895 RDL720895 RNH720895 RXD720895 SGZ720895 SQV720895 TAR720895 TKN720895 TUJ720895 UEF720895 UOB720895 UXX720895 VHT720895 VRP720895 WBL720895 WLH720895 WVD720895 A786433 IR786431 SN786431 ACJ786431 AMF786431 AWB786431 BFX786431 BPT786431 BZP786431 CJL786431 CTH786431 DDD786431 DMZ786431 DWV786431 EGR786431 EQN786431 FAJ786431 FKF786431 FUB786431 GDX786431 GNT786431 GXP786431 HHL786431 HRH786431 IBD786431 IKZ786431 IUV786431 JER786431 JON786431 JYJ786431 KIF786431 KSB786431 LBX786431 LLT786431 LVP786431 MFL786431 MPH786431 MZD786431 NIZ786431 NSV786431 OCR786431 OMN786431 OWJ786431 PGF786431 PQB786431 PZX786431 QJT786431 QTP786431 RDL786431 RNH786431 RXD786431 SGZ786431 SQV786431 TAR786431 TKN786431 TUJ786431 UEF786431 UOB786431 UXX786431 VHT786431 VRP786431 WBL786431 WLH786431 WVD786431 A851969 IR851967 SN851967 ACJ851967 AMF851967 AWB851967 BFX851967 BPT851967 BZP851967 CJL851967 CTH851967 DDD851967 DMZ851967 DWV851967 EGR851967 EQN851967 FAJ851967 FKF851967 FUB851967 GDX851967 GNT851967 GXP851967 HHL851967 HRH851967 IBD851967 IKZ851967 IUV851967 JER851967 JON851967 JYJ851967 KIF851967 KSB851967 LBX851967 LLT851967 LVP851967 MFL851967 MPH851967 MZD851967 NIZ851967 NSV851967 OCR851967 OMN851967 OWJ851967 PGF851967 PQB851967 PZX851967 QJT851967 QTP851967 RDL851967 RNH851967 RXD851967 SGZ851967 SQV851967 TAR851967 TKN851967 TUJ851967 UEF851967 UOB851967 UXX851967 VHT851967 VRP851967 WBL851967 WLH851967 WVD851967 A917505 IR917503 SN917503 ACJ917503 AMF917503 AWB917503 BFX917503 BPT917503 BZP917503 CJL917503 CTH917503 DDD917503 DMZ917503 DWV917503 EGR917503 EQN917503 FAJ917503 FKF917503 FUB917503 GDX917503 GNT917503 GXP917503 HHL917503 HRH917503 IBD917503 IKZ917503 IUV917503 JER917503 JON917503 JYJ917503 KIF917503 KSB917503 LBX917503 LLT917503 LVP917503 MFL917503 MPH917503 MZD917503 NIZ917503 NSV917503 OCR917503 OMN917503 OWJ917503 PGF917503 PQB917503 PZX917503 QJT917503 QTP917503 RDL917503 RNH917503 RXD917503 SGZ917503 SQV917503 TAR917503 TKN917503 TUJ917503 UEF917503 UOB917503 UXX917503 VHT917503 VRP917503 WBL917503 WLH917503 WVD917503 A983041 IR983039 SN983039 ACJ983039 AMF983039 AWB983039 BFX983039 BPT983039 BZP983039 CJL983039 CTH983039 DDD983039 DMZ983039 DWV983039 EGR983039 EQN983039 FAJ983039 FKF983039 FUB983039 GDX983039 GNT983039 GXP983039 HHL983039 HRH983039 IBD983039 IKZ983039 IUV983039 JER983039 JON983039 JYJ983039 KIF983039 KSB983039 LBX983039 LLT983039 LVP983039 MFL983039 MPH983039 MZD983039 NIZ983039 NSV983039 OCR983039 OMN983039 OWJ983039 PGF983039 PQB983039 PZX983039 QJT983039 QTP983039 RDL983039 RNH983039 RXD983039 SGZ983039 SQV983039 TAR983039 TKN983039 TUJ983039 UEF983039 UOB983039 UXX983039 VHT983039 VRP983039 WBL983039 WLH983039">
      <formula1>#REF!</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disablePrompts="1" count="1">
        <x14:dataValidation type="list" showInputMessage="1" showErrorMessage="1">
          <x14:formula1>
            <xm:f>作業・変換!$D$74:$D$81</xm:f>
          </x14:formula1>
          <xm:sqref>C65538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56"/>
  <sheetViews>
    <sheetView zoomScaleNormal="100" workbookViewId="0">
      <selection activeCell="B1" sqref="B1"/>
    </sheetView>
  </sheetViews>
  <sheetFormatPr defaultRowHeight="15" customHeight="1" x14ac:dyDescent="0.45"/>
  <cols>
    <col min="1" max="1" width="6.69921875" style="153" customWidth="1"/>
    <col min="2" max="2" width="8.3984375" style="153" customWidth="1"/>
    <col min="3" max="7" width="12.5" style="153" customWidth="1"/>
    <col min="8" max="8" width="9" style="153"/>
    <col min="9" max="9" width="5.19921875" style="153" bestFit="1" customWidth="1"/>
    <col min="10" max="10" width="21.5" style="153" customWidth="1"/>
    <col min="11" max="11" width="7.09765625" style="153" bestFit="1" customWidth="1"/>
    <col min="12" max="12" width="38" style="153" customWidth="1"/>
    <col min="13" max="13" width="11.3984375" style="153" customWidth="1"/>
    <col min="14" max="14" width="5.8984375" style="153" customWidth="1"/>
    <col min="15" max="16" width="9" style="153"/>
    <col min="17" max="17" width="6.09765625" style="153" customWidth="1"/>
    <col min="18" max="18" width="19.5" style="153" customWidth="1"/>
    <col min="19" max="249" width="9" style="153"/>
    <col min="250" max="250" width="6.8984375" style="153" customWidth="1"/>
    <col min="251" max="251" width="7.5" style="153" customWidth="1"/>
    <col min="252" max="252" width="6.69921875" style="153" customWidth="1"/>
    <col min="253" max="253" width="8.3984375" style="153" customWidth="1"/>
    <col min="254" max="254" width="4.5" style="153" customWidth="1"/>
    <col min="255" max="255" width="8.19921875" style="153" customWidth="1"/>
    <col min="256" max="256" width="3.69921875" style="153" customWidth="1"/>
    <col min="257" max="257" width="7.69921875" style="153" customWidth="1"/>
    <col min="258" max="258" width="3.69921875" style="153" customWidth="1"/>
    <col min="259" max="259" width="7.69921875" style="153" customWidth="1"/>
    <col min="260" max="260" width="3.69921875" style="153" customWidth="1"/>
    <col min="261" max="261" width="7.69921875" style="153" customWidth="1"/>
    <col min="262" max="262" width="3.69921875" style="153" customWidth="1"/>
    <col min="263" max="263" width="6.19921875" style="153" customWidth="1"/>
    <col min="264" max="264" width="9" style="153"/>
    <col min="265" max="265" width="12.59765625" style="153" customWidth="1"/>
    <col min="266" max="266" width="19.09765625" style="153" customWidth="1"/>
    <col min="267" max="267" width="4.69921875" style="153" customWidth="1"/>
    <col min="268" max="268" width="9.8984375" style="153" customWidth="1"/>
    <col min="269" max="269" width="11.3984375" style="153" customWidth="1"/>
    <col min="270" max="270" width="5.8984375" style="153" customWidth="1"/>
    <col min="271" max="272" width="9" style="153"/>
    <col min="273" max="273" width="6.09765625" style="153" customWidth="1"/>
    <col min="274" max="274" width="19.5" style="153" customWidth="1"/>
    <col min="275" max="505" width="9" style="153"/>
    <col min="506" max="506" width="6.8984375" style="153" customWidth="1"/>
    <col min="507" max="507" width="7.5" style="153" customWidth="1"/>
    <col min="508" max="508" width="6.69921875" style="153" customWidth="1"/>
    <col min="509" max="509" width="8.3984375" style="153" customWidth="1"/>
    <col min="510" max="510" width="4.5" style="153" customWidth="1"/>
    <col min="511" max="511" width="8.19921875" style="153" customWidth="1"/>
    <col min="512" max="512" width="3.69921875" style="153" customWidth="1"/>
    <col min="513" max="513" width="7.69921875" style="153" customWidth="1"/>
    <col min="514" max="514" width="3.69921875" style="153" customWidth="1"/>
    <col min="515" max="515" width="7.69921875" style="153" customWidth="1"/>
    <col min="516" max="516" width="3.69921875" style="153" customWidth="1"/>
    <col min="517" max="517" width="7.69921875" style="153" customWidth="1"/>
    <col min="518" max="518" width="3.69921875" style="153" customWidth="1"/>
    <col min="519" max="519" width="6.19921875" style="153" customWidth="1"/>
    <col min="520" max="520" width="9" style="153"/>
    <col min="521" max="521" width="12.59765625" style="153" customWidth="1"/>
    <col min="522" max="522" width="19.09765625" style="153" customWidth="1"/>
    <col min="523" max="523" width="4.69921875" style="153" customWidth="1"/>
    <col min="524" max="524" width="9.8984375" style="153" customWidth="1"/>
    <col min="525" max="525" width="11.3984375" style="153" customWidth="1"/>
    <col min="526" max="526" width="5.8984375" style="153" customWidth="1"/>
    <col min="527" max="528" width="9" style="153"/>
    <col min="529" max="529" width="6.09765625" style="153" customWidth="1"/>
    <col min="530" max="530" width="19.5" style="153" customWidth="1"/>
    <col min="531" max="761" width="9" style="153"/>
    <col min="762" max="762" width="6.8984375" style="153" customWidth="1"/>
    <col min="763" max="763" width="7.5" style="153" customWidth="1"/>
    <col min="764" max="764" width="6.69921875" style="153" customWidth="1"/>
    <col min="765" max="765" width="8.3984375" style="153" customWidth="1"/>
    <col min="766" max="766" width="4.5" style="153" customWidth="1"/>
    <col min="767" max="767" width="8.19921875" style="153" customWidth="1"/>
    <col min="768" max="768" width="3.69921875" style="153" customWidth="1"/>
    <col min="769" max="769" width="7.69921875" style="153" customWidth="1"/>
    <col min="770" max="770" width="3.69921875" style="153" customWidth="1"/>
    <col min="771" max="771" width="7.69921875" style="153" customWidth="1"/>
    <col min="772" max="772" width="3.69921875" style="153" customWidth="1"/>
    <col min="773" max="773" width="7.69921875" style="153" customWidth="1"/>
    <col min="774" max="774" width="3.69921875" style="153" customWidth="1"/>
    <col min="775" max="775" width="6.19921875" style="153" customWidth="1"/>
    <col min="776" max="776" width="9" style="153"/>
    <col min="777" max="777" width="12.59765625" style="153" customWidth="1"/>
    <col min="778" max="778" width="19.09765625" style="153" customWidth="1"/>
    <col min="779" max="779" width="4.69921875" style="153" customWidth="1"/>
    <col min="780" max="780" width="9.8984375" style="153" customWidth="1"/>
    <col min="781" max="781" width="11.3984375" style="153" customWidth="1"/>
    <col min="782" max="782" width="5.8984375" style="153" customWidth="1"/>
    <col min="783" max="784" width="9" style="153"/>
    <col min="785" max="785" width="6.09765625" style="153" customWidth="1"/>
    <col min="786" max="786" width="19.5" style="153" customWidth="1"/>
    <col min="787" max="1017" width="9" style="153"/>
    <col min="1018" max="1018" width="6.8984375" style="153" customWidth="1"/>
    <col min="1019" max="1019" width="7.5" style="153" customWidth="1"/>
    <col min="1020" max="1020" width="6.69921875" style="153" customWidth="1"/>
    <col min="1021" max="1021" width="8.3984375" style="153" customWidth="1"/>
    <col min="1022" max="1022" width="4.5" style="153" customWidth="1"/>
    <col min="1023" max="1023" width="8.19921875" style="153" customWidth="1"/>
    <col min="1024" max="1024" width="3.69921875" style="153" customWidth="1"/>
    <col min="1025" max="1025" width="7.69921875" style="153" customWidth="1"/>
    <col min="1026" max="1026" width="3.69921875" style="153" customWidth="1"/>
    <col min="1027" max="1027" width="7.69921875" style="153" customWidth="1"/>
    <col min="1028" max="1028" width="3.69921875" style="153" customWidth="1"/>
    <col min="1029" max="1029" width="7.69921875" style="153" customWidth="1"/>
    <col min="1030" max="1030" width="3.69921875" style="153" customWidth="1"/>
    <col min="1031" max="1031" width="6.19921875" style="153" customWidth="1"/>
    <col min="1032" max="1032" width="9" style="153"/>
    <col min="1033" max="1033" width="12.59765625" style="153" customWidth="1"/>
    <col min="1034" max="1034" width="19.09765625" style="153" customWidth="1"/>
    <col min="1035" max="1035" width="4.69921875" style="153" customWidth="1"/>
    <col min="1036" max="1036" width="9.8984375" style="153" customWidth="1"/>
    <col min="1037" max="1037" width="11.3984375" style="153" customWidth="1"/>
    <col min="1038" max="1038" width="5.8984375" style="153" customWidth="1"/>
    <col min="1039" max="1040" width="9" style="153"/>
    <col min="1041" max="1041" width="6.09765625" style="153" customWidth="1"/>
    <col min="1042" max="1042" width="19.5" style="153" customWidth="1"/>
    <col min="1043" max="1273" width="9" style="153"/>
    <col min="1274" max="1274" width="6.8984375" style="153" customWidth="1"/>
    <col min="1275" max="1275" width="7.5" style="153" customWidth="1"/>
    <col min="1276" max="1276" width="6.69921875" style="153" customWidth="1"/>
    <col min="1277" max="1277" width="8.3984375" style="153" customWidth="1"/>
    <col min="1278" max="1278" width="4.5" style="153" customWidth="1"/>
    <col min="1279" max="1279" width="8.19921875" style="153" customWidth="1"/>
    <col min="1280" max="1280" width="3.69921875" style="153" customWidth="1"/>
    <col min="1281" max="1281" width="7.69921875" style="153" customWidth="1"/>
    <col min="1282" max="1282" width="3.69921875" style="153" customWidth="1"/>
    <col min="1283" max="1283" width="7.69921875" style="153" customWidth="1"/>
    <col min="1284" max="1284" width="3.69921875" style="153" customWidth="1"/>
    <col min="1285" max="1285" width="7.69921875" style="153" customWidth="1"/>
    <col min="1286" max="1286" width="3.69921875" style="153" customWidth="1"/>
    <col min="1287" max="1287" width="6.19921875" style="153" customWidth="1"/>
    <col min="1288" max="1288" width="9" style="153"/>
    <col min="1289" max="1289" width="12.59765625" style="153" customWidth="1"/>
    <col min="1290" max="1290" width="19.09765625" style="153" customWidth="1"/>
    <col min="1291" max="1291" width="4.69921875" style="153" customWidth="1"/>
    <col min="1292" max="1292" width="9.8984375" style="153" customWidth="1"/>
    <col min="1293" max="1293" width="11.3984375" style="153" customWidth="1"/>
    <col min="1294" max="1294" width="5.8984375" style="153" customWidth="1"/>
    <col min="1295" max="1296" width="9" style="153"/>
    <col min="1297" max="1297" width="6.09765625" style="153" customWidth="1"/>
    <col min="1298" max="1298" width="19.5" style="153" customWidth="1"/>
    <col min="1299" max="1529" width="9" style="153"/>
    <col min="1530" max="1530" width="6.8984375" style="153" customWidth="1"/>
    <col min="1531" max="1531" width="7.5" style="153" customWidth="1"/>
    <col min="1532" max="1532" width="6.69921875" style="153" customWidth="1"/>
    <col min="1533" max="1533" width="8.3984375" style="153" customWidth="1"/>
    <col min="1534" max="1534" width="4.5" style="153" customWidth="1"/>
    <col min="1535" max="1535" width="8.19921875" style="153" customWidth="1"/>
    <col min="1536" max="1536" width="3.69921875" style="153" customWidth="1"/>
    <col min="1537" max="1537" width="7.69921875" style="153" customWidth="1"/>
    <col min="1538" max="1538" width="3.69921875" style="153" customWidth="1"/>
    <col min="1539" max="1539" width="7.69921875" style="153" customWidth="1"/>
    <col min="1540" max="1540" width="3.69921875" style="153" customWidth="1"/>
    <col min="1541" max="1541" width="7.69921875" style="153" customWidth="1"/>
    <col min="1542" max="1542" width="3.69921875" style="153" customWidth="1"/>
    <col min="1543" max="1543" width="6.19921875" style="153" customWidth="1"/>
    <col min="1544" max="1544" width="9" style="153"/>
    <col min="1545" max="1545" width="12.59765625" style="153" customWidth="1"/>
    <col min="1546" max="1546" width="19.09765625" style="153" customWidth="1"/>
    <col min="1547" max="1547" width="4.69921875" style="153" customWidth="1"/>
    <col min="1548" max="1548" width="9.8984375" style="153" customWidth="1"/>
    <col min="1549" max="1549" width="11.3984375" style="153" customWidth="1"/>
    <col min="1550" max="1550" width="5.8984375" style="153" customWidth="1"/>
    <col min="1551" max="1552" width="9" style="153"/>
    <col min="1553" max="1553" width="6.09765625" style="153" customWidth="1"/>
    <col min="1554" max="1554" width="19.5" style="153" customWidth="1"/>
    <col min="1555" max="1785" width="9" style="153"/>
    <col min="1786" max="1786" width="6.8984375" style="153" customWidth="1"/>
    <col min="1787" max="1787" width="7.5" style="153" customWidth="1"/>
    <col min="1788" max="1788" width="6.69921875" style="153" customWidth="1"/>
    <col min="1789" max="1789" width="8.3984375" style="153" customWidth="1"/>
    <col min="1790" max="1790" width="4.5" style="153" customWidth="1"/>
    <col min="1791" max="1791" width="8.19921875" style="153" customWidth="1"/>
    <col min="1792" max="1792" width="3.69921875" style="153" customWidth="1"/>
    <col min="1793" max="1793" width="7.69921875" style="153" customWidth="1"/>
    <col min="1794" max="1794" width="3.69921875" style="153" customWidth="1"/>
    <col min="1795" max="1795" width="7.69921875" style="153" customWidth="1"/>
    <col min="1796" max="1796" width="3.69921875" style="153" customWidth="1"/>
    <col min="1797" max="1797" width="7.69921875" style="153" customWidth="1"/>
    <col min="1798" max="1798" width="3.69921875" style="153" customWidth="1"/>
    <col min="1799" max="1799" width="6.19921875" style="153" customWidth="1"/>
    <col min="1800" max="1800" width="9" style="153"/>
    <col min="1801" max="1801" width="12.59765625" style="153" customWidth="1"/>
    <col min="1802" max="1802" width="19.09765625" style="153" customWidth="1"/>
    <col min="1803" max="1803" width="4.69921875" style="153" customWidth="1"/>
    <col min="1804" max="1804" width="9.8984375" style="153" customWidth="1"/>
    <col min="1805" max="1805" width="11.3984375" style="153" customWidth="1"/>
    <col min="1806" max="1806" width="5.8984375" style="153" customWidth="1"/>
    <col min="1807" max="1808" width="9" style="153"/>
    <col min="1809" max="1809" width="6.09765625" style="153" customWidth="1"/>
    <col min="1810" max="1810" width="19.5" style="153" customWidth="1"/>
    <col min="1811" max="2041" width="9" style="153"/>
    <col min="2042" max="2042" width="6.8984375" style="153" customWidth="1"/>
    <col min="2043" max="2043" width="7.5" style="153" customWidth="1"/>
    <col min="2044" max="2044" width="6.69921875" style="153" customWidth="1"/>
    <col min="2045" max="2045" width="8.3984375" style="153" customWidth="1"/>
    <col min="2046" max="2046" width="4.5" style="153" customWidth="1"/>
    <col min="2047" max="2047" width="8.19921875" style="153" customWidth="1"/>
    <col min="2048" max="2048" width="3.69921875" style="153" customWidth="1"/>
    <col min="2049" max="2049" width="7.69921875" style="153" customWidth="1"/>
    <col min="2050" max="2050" width="3.69921875" style="153" customWidth="1"/>
    <col min="2051" max="2051" width="7.69921875" style="153" customWidth="1"/>
    <col min="2052" max="2052" width="3.69921875" style="153" customWidth="1"/>
    <col min="2053" max="2053" width="7.69921875" style="153" customWidth="1"/>
    <col min="2054" max="2054" width="3.69921875" style="153" customWidth="1"/>
    <col min="2055" max="2055" width="6.19921875" style="153" customWidth="1"/>
    <col min="2056" max="2056" width="9" style="153"/>
    <col min="2057" max="2057" width="12.59765625" style="153" customWidth="1"/>
    <col min="2058" max="2058" width="19.09765625" style="153" customWidth="1"/>
    <col min="2059" max="2059" width="4.69921875" style="153" customWidth="1"/>
    <col min="2060" max="2060" width="9.8984375" style="153" customWidth="1"/>
    <col min="2061" max="2061" width="11.3984375" style="153" customWidth="1"/>
    <col min="2062" max="2062" width="5.8984375" style="153" customWidth="1"/>
    <col min="2063" max="2064" width="9" style="153"/>
    <col min="2065" max="2065" width="6.09765625" style="153" customWidth="1"/>
    <col min="2066" max="2066" width="19.5" style="153" customWidth="1"/>
    <col min="2067" max="2297" width="9" style="153"/>
    <col min="2298" max="2298" width="6.8984375" style="153" customWidth="1"/>
    <col min="2299" max="2299" width="7.5" style="153" customWidth="1"/>
    <col min="2300" max="2300" width="6.69921875" style="153" customWidth="1"/>
    <col min="2301" max="2301" width="8.3984375" style="153" customWidth="1"/>
    <col min="2302" max="2302" width="4.5" style="153" customWidth="1"/>
    <col min="2303" max="2303" width="8.19921875" style="153" customWidth="1"/>
    <col min="2304" max="2304" width="3.69921875" style="153" customWidth="1"/>
    <col min="2305" max="2305" width="7.69921875" style="153" customWidth="1"/>
    <col min="2306" max="2306" width="3.69921875" style="153" customWidth="1"/>
    <col min="2307" max="2307" width="7.69921875" style="153" customWidth="1"/>
    <col min="2308" max="2308" width="3.69921875" style="153" customWidth="1"/>
    <col min="2309" max="2309" width="7.69921875" style="153" customWidth="1"/>
    <col min="2310" max="2310" width="3.69921875" style="153" customWidth="1"/>
    <col min="2311" max="2311" width="6.19921875" style="153" customWidth="1"/>
    <col min="2312" max="2312" width="9" style="153"/>
    <col min="2313" max="2313" width="12.59765625" style="153" customWidth="1"/>
    <col min="2314" max="2314" width="19.09765625" style="153" customWidth="1"/>
    <col min="2315" max="2315" width="4.69921875" style="153" customWidth="1"/>
    <col min="2316" max="2316" width="9.8984375" style="153" customWidth="1"/>
    <col min="2317" max="2317" width="11.3984375" style="153" customWidth="1"/>
    <col min="2318" max="2318" width="5.8984375" style="153" customWidth="1"/>
    <col min="2319" max="2320" width="9" style="153"/>
    <col min="2321" max="2321" width="6.09765625" style="153" customWidth="1"/>
    <col min="2322" max="2322" width="19.5" style="153" customWidth="1"/>
    <col min="2323" max="2553" width="9" style="153"/>
    <col min="2554" max="2554" width="6.8984375" style="153" customWidth="1"/>
    <col min="2555" max="2555" width="7.5" style="153" customWidth="1"/>
    <col min="2556" max="2556" width="6.69921875" style="153" customWidth="1"/>
    <col min="2557" max="2557" width="8.3984375" style="153" customWidth="1"/>
    <col min="2558" max="2558" width="4.5" style="153" customWidth="1"/>
    <col min="2559" max="2559" width="8.19921875" style="153" customWidth="1"/>
    <col min="2560" max="2560" width="3.69921875" style="153" customWidth="1"/>
    <col min="2561" max="2561" width="7.69921875" style="153" customWidth="1"/>
    <col min="2562" max="2562" width="3.69921875" style="153" customWidth="1"/>
    <col min="2563" max="2563" width="7.69921875" style="153" customWidth="1"/>
    <col min="2564" max="2564" width="3.69921875" style="153" customWidth="1"/>
    <col min="2565" max="2565" width="7.69921875" style="153" customWidth="1"/>
    <col min="2566" max="2566" width="3.69921875" style="153" customWidth="1"/>
    <col min="2567" max="2567" width="6.19921875" style="153" customWidth="1"/>
    <col min="2568" max="2568" width="9" style="153"/>
    <col min="2569" max="2569" width="12.59765625" style="153" customWidth="1"/>
    <col min="2570" max="2570" width="19.09765625" style="153" customWidth="1"/>
    <col min="2571" max="2571" width="4.69921875" style="153" customWidth="1"/>
    <col min="2572" max="2572" width="9.8984375" style="153" customWidth="1"/>
    <col min="2573" max="2573" width="11.3984375" style="153" customWidth="1"/>
    <col min="2574" max="2574" width="5.8984375" style="153" customWidth="1"/>
    <col min="2575" max="2576" width="9" style="153"/>
    <col min="2577" max="2577" width="6.09765625" style="153" customWidth="1"/>
    <col min="2578" max="2578" width="19.5" style="153" customWidth="1"/>
    <col min="2579" max="2809" width="9" style="153"/>
    <col min="2810" max="2810" width="6.8984375" style="153" customWidth="1"/>
    <col min="2811" max="2811" width="7.5" style="153" customWidth="1"/>
    <col min="2812" max="2812" width="6.69921875" style="153" customWidth="1"/>
    <col min="2813" max="2813" width="8.3984375" style="153" customWidth="1"/>
    <col min="2814" max="2814" width="4.5" style="153" customWidth="1"/>
    <col min="2815" max="2815" width="8.19921875" style="153" customWidth="1"/>
    <col min="2816" max="2816" width="3.69921875" style="153" customWidth="1"/>
    <col min="2817" max="2817" width="7.69921875" style="153" customWidth="1"/>
    <col min="2818" max="2818" width="3.69921875" style="153" customWidth="1"/>
    <col min="2819" max="2819" width="7.69921875" style="153" customWidth="1"/>
    <col min="2820" max="2820" width="3.69921875" style="153" customWidth="1"/>
    <col min="2821" max="2821" width="7.69921875" style="153" customWidth="1"/>
    <col min="2822" max="2822" width="3.69921875" style="153" customWidth="1"/>
    <col min="2823" max="2823" width="6.19921875" style="153" customWidth="1"/>
    <col min="2824" max="2824" width="9" style="153"/>
    <col min="2825" max="2825" width="12.59765625" style="153" customWidth="1"/>
    <col min="2826" max="2826" width="19.09765625" style="153" customWidth="1"/>
    <col min="2827" max="2827" width="4.69921875" style="153" customWidth="1"/>
    <col min="2828" max="2828" width="9.8984375" style="153" customWidth="1"/>
    <col min="2829" max="2829" width="11.3984375" style="153" customWidth="1"/>
    <col min="2830" max="2830" width="5.8984375" style="153" customWidth="1"/>
    <col min="2831" max="2832" width="9" style="153"/>
    <col min="2833" max="2833" width="6.09765625" style="153" customWidth="1"/>
    <col min="2834" max="2834" width="19.5" style="153" customWidth="1"/>
    <col min="2835" max="3065" width="9" style="153"/>
    <col min="3066" max="3066" width="6.8984375" style="153" customWidth="1"/>
    <col min="3067" max="3067" width="7.5" style="153" customWidth="1"/>
    <col min="3068" max="3068" width="6.69921875" style="153" customWidth="1"/>
    <col min="3069" max="3069" width="8.3984375" style="153" customWidth="1"/>
    <col min="3070" max="3070" width="4.5" style="153" customWidth="1"/>
    <col min="3071" max="3071" width="8.19921875" style="153" customWidth="1"/>
    <col min="3072" max="3072" width="3.69921875" style="153" customWidth="1"/>
    <col min="3073" max="3073" width="7.69921875" style="153" customWidth="1"/>
    <col min="3074" max="3074" width="3.69921875" style="153" customWidth="1"/>
    <col min="3075" max="3075" width="7.69921875" style="153" customWidth="1"/>
    <col min="3076" max="3076" width="3.69921875" style="153" customWidth="1"/>
    <col min="3077" max="3077" width="7.69921875" style="153" customWidth="1"/>
    <col min="3078" max="3078" width="3.69921875" style="153" customWidth="1"/>
    <col min="3079" max="3079" width="6.19921875" style="153" customWidth="1"/>
    <col min="3080" max="3080" width="9" style="153"/>
    <col min="3081" max="3081" width="12.59765625" style="153" customWidth="1"/>
    <col min="3082" max="3082" width="19.09765625" style="153" customWidth="1"/>
    <col min="3083" max="3083" width="4.69921875" style="153" customWidth="1"/>
    <col min="3084" max="3084" width="9.8984375" style="153" customWidth="1"/>
    <col min="3085" max="3085" width="11.3984375" style="153" customWidth="1"/>
    <col min="3086" max="3086" width="5.8984375" style="153" customWidth="1"/>
    <col min="3087" max="3088" width="9" style="153"/>
    <col min="3089" max="3089" width="6.09765625" style="153" customWidth="1"/>
    <col min="3090" max="3090" width="19.5" style="153" customWidth="1"/>
    <col min="3091" max="3321" width="9" style="153"/>
    <col min="3322" max="3322" width="6.8984375" style="153" customWidth="1"/>
    <col min="3323" max="3323" width="7.5" style="153" customWidth="1"/>
    <col min="3324" max="3324" width="6.69921875" style="153" customWidth="1"/>
    <col min="3325" max="3325" width="8.3984375" style="153" customWidth="1"/>
    <col min="3326" max="3326" width="4.5" style="153" customWidth="1"/>
    <col min="3327" max="3327" width="8.19921875" style="153" customWidth="1"/>
    <col min="3328" max="3328" width="3.69921875" style="153" customWidth="1"/>
    <col min="3329" max="3329" width="7.69921875" style="153" customWidth="1"/>
    <col min="3330" max="3330" width="3.69921875" style="153" customWidth="1"/>
    <col min="3331" max="3331" width="7.69921875" style="153" customWidth="1"/>
    <col min="3332" max="3332" width="3.69921875" style="153" customWidth="1"/>
    <col min="3333" max="3333" width="7.69921875" style="153" customWidth="1"/>
    <col min="3334" max="3334" width="3.69921875" style="153" customWidth="1"/>
    <col min="3335" max="3335" width="6.19921875" style="153" customWidth="1"/>
    <col min="3336" max="3336" width="9" style="153"/>
    <col min="3337" max="3337" width="12.59765625" style="153" customWidth="1"/>
    <col min="3338" max="3338" width="19.09765625" style="153" customWidth="1"/>
    <col min="3339" max="3339" width="4.69921875" style="153" customWidth="1"/>
    <col min="3340" max="3340" width="9.8984375" style="153" customWidth="1"/>
    <col min="3341" max="3341" width="11.3984375" style="153" customWidth="1"/>
    <col min="3342" max="3342" width="5.8984375" style="153" customWidth="1"/>
    <col min="3343" max="3344" width="9" style="153"/>
    <col min="3345" max="3345" width="6.09765625" style="153" customWidth="1"/>
    <col min="3346" max="3346" width="19.5" style="153" customWidth="1"/>
    <col min="3347" max="3577" width="9" style="153"/>
    <col min="3578" max="3578" width="6.8984375" style="153" customWidth="1"/>
    <col min="3579" max="3579" width="7.5" style="153" customWidth="1"/>
    <col min="3580" max="3580" width="6.69921875" style="153" customWidth="1"/>
    <col min="3581" max="3581" width="8.3984375" style="153" customWidth="1"/>
    <col min="3582" max="3582" width="4.5" style="153" customWidth="1"/>
    <col min="3583" max="3583" width="8.19921875" style="153" customWidth="1"/>
    <col min="3584" max="3584" width="3.69921875" style="153" customWidth="1"/>
    <col min="3585" max="3585" width="7.69921875" style="153" customWidth="1"/>
    <col min="3586" max="3586" width="3.69921875" style="153" customWidth="1"/>
    <col min="3587" max="3587" width="7.69921875" style="153" customWidth="1"/>
    <col min="3588" max="3588" width="3.69921875" style="153" customWidth="1"/>
    <col min="3589" max="3589" width="7.69921875" style="153" customWidth="1"/>
    <col min="3590" max="3590" width="3.69921875" style="153" customWidth="1"/>
    <col min="3591" max="3591" width="6.19921875" style="153" customWidth="1"/>
    <col min="3592" max="3592" width="9" style="153"/>
    <col min="3593" max="3593" width="12.59765625" style="153" customWidth="1"/>
    <col min="3594" max="3594" width="19.09765625" style="153" customWidth="1"/>
    <col min="3595" max="3595" width="4.69921875" style="153" customWidth="1"/>
    <col min="3596" max="3596" width="9.8984375" style="153" customWidth="1"/>
    <col min="3597" max="3597" width="11.3984375" style="153" customWidth="1"/>
    <col min="3598" max="3598" width="5.8984375" style="153" customWidth="1"/>
    <col min="3599" max="3600" width="9" style="153"/>
    <col min="3601" max="3601" width="6.09765625" style="153" customWidth="1"/>
    <col min="3602" max="3602" width="19.5" style="153" customWidth="1"/>
    <col min="3603" max="3833" width="9" style="153"/>
    <col min="3834" max="3834" width="6.8984375" style="153" customWidth="1"/>
    <col min="3835" max="3835" width="7.5" style="153" customWidth="1"/>
    <col min="3836" max="3836" width="6.69921875" style="153" customWidth="1"/>
    <col min="3837" max="3837" width="8.3984375" style="153" customWidth="1"/>
    <col min="3838" max="3838" width="4.5" style="153" customWidth="1"/>
    <col min="3839" max="3839" width="8.19921875" style="153" customWidth="1"/>
    <col min="3840" max="3840" width="3.69921875" style="153" customWidth="1"/>
    <col min="3841" max="3841" width="7.69921875" style="153" customWidth="1"/>
    <col min="3842" max="3842" width="3.69921875" style="153" customWidth="1"/>
    <col min="3843" max="3843" width="7.69921875" style="153" customWidth="1"/>
    <col min="3844" max="3844" width="3.69921875" style="153" customWidth="1"/>
    <col min="3845" max="3845" width="7.69921875" style="153" customWidth="1"/>
    <col min="3846" max="3846" width="3.69921875" style="153" customWidth="1"/>
    <col min="3847" max="3847" width="6.19921875" style="153" customWidth="1"/>
    <col min="3848" max="3848" width="9" style="153"/>
    <col min="3849" max="3849" width="12.59765625" style="153" customWidth="1"/>
    <col min="3850" max="3850" width="19.09765625" style="153" customWidth="1"/>
    <col min="3851" max="3851" width="4.69921875" style="153" customWidth="1"/>
    <col min="3852" max="3852" width="9.8984375" style="153" customWidth="1"/>
    <col min="3853" max="3853" width="11.3984375" style="153" customWidth="1"/>
    <col min="3854" max="3854" width="5.8984375" style="153" customWidth="1"/>
    <col min="3855" max="3856" width="9" style="153"/>
    <col min="3857" max="3857" width="6.09765625" style="153" customWidth="1"/>
    <col min="3858" max="3858" width="19.5" style="153" customWidth="1"/>
    <col min="3859" max="4089" width="9" style="153"/>
    <col min="4090" max="4090" width="6.8984375" style="153" customWidth="1"/>
    <col min="4091" max="4091" width="7.5" style="153" customWidth="1"/>
    <col min="4092" max="4092" width="6.69921875" style="153" customWidth="1"/>
    <col min="4093" max="4093" width="8.3984375" style="153" customWidth="1"/>
    <col min="4094" max="4094" width="4.5" style="153" customWidth="1"/>
    <col min="4095" max="4095" width="8.19921875" style="153" customWidth="1"/>
    <col min="4096" max="4096" width="3.69921875" style="153" customWidth="1"/>
    <col min="4097" max="4097" width="7.69921875" style="153" customWidth="1"/>
    <col min="4098" max="4098" width="3.69921875" style="153" customWidth="1"/>
    <col min="4099" max="4099" width="7.69921875" style="153" customWidth="1"/>
    <col min="4100" max="4100" width="3.69921875" style="153" customWidth="1"/>
    <col min="4101" max="4101" width="7.69921875" style="153" customWidth="1"/>
    <col min="4102" max="4102" width="3.69921875" style="153" customWidth="1"/>
    <col min="4103" max="4103" width="6.19921875" style="153" customWidth="1"/>
    <col min="4104" max="4104" width="9" style="153"/>
    <col min="4105" max="4105" width="12.59765625" style="153" customWidth="1"/>
    <col min="4106" max="4106" width="19.09765625" style="153" customWidth="1"/>
    <col min="4107" max="4107" width="4.69921875" style="153" customWidth="1"/>
    <col min="4108" max="4108" width="9.8984375" style="153" customWidth="1"/>
    <col min="4109" max="4109" width="11.3984375" style="153" customWidth="1"/>
    <col min="4110" max="4110" width="5.8984375" style="153" customWidth="1"/>
    <col min="4111" max="4112" width="9" style="153"/>
    <col min="4113" max="4113" width="6.09765625" style="153" customWidth="1"/>
    <col min="4114" max="4114" width="19.5" style="153" customWidth="1"/>
    <col min="4115" max="4345" width="9" style="153"/>
    <col min="4346" max="4346" width="6.8984375" style="153" customWidth="1"/>
    <col min="4347" max="4347" width="7.5" style="153" customWidth="1"/>
    <col min="4348" max="4348" width="6.69921875" style="153" customWidth="1"/>
    <col min="4349" max="4349" width="8.3984375" style="153" customWidth="1"/>
    <col min="4350" max="4350" width="4.5" style="153" customWidth="1"/>
    <col min="4351" max="4351" width="8.19921875" style="153" customWidth="1"/>
    <col min="4352" max="4352" width="3.69921875" style="153" customWidth="1"/>
    <col min="4353" max="4353" width="7.69921875" style="153" customWidth="1"/>
    <col min="4354" max="4354" width="3.69921875" style="153" customWidth="1"/>
    <col min="4355" max="4355" width="7.69921875" style="153" customWidth="1"/>
    <col min="4356" max="4356" width="3.69921875" style="153" customWidth="1"/>
    <col min="4357" max="4357" width="7.69921875" style="153" customWidth="1"/>
    <col min="4358" max="4358" width="3.69921875" style="153" customWidth="1"/>
    <col min="4359" max="4359" width="6.19921875" style="153" customWidth="1"/>
    <col min="4360" max="4360" width="9" style="153"/>
    <col min="4361" max="4361" width="12.59765625" style="153" customWidth="1"/>
    <col min="4362" max="4362" width="19.09765625" style="153" customWidth="1"/>
    <col min="4363" max="4363" width="4.69921875" style="153" customWidth="1"/>
    <col min="4364" max="4364" width="9.8984375" style="153" customWidth="1"/>
    <col min="4365" max="4365" width="11.3984375" style="153" customWidth="1"/>
    <col min="4366" max="4366" width="5.8984375" style="153" customWidth="1"/>
    <col min="4367" max="4368" width="9" style="153"/>
    <col min="4369" max="4369" width="6.09765625" style="153" customWidth="1"/>
    <col min="4370" max="4370" width="19.5" style="153" customWidth="1"/>
    <col min="4371" max="4601" width="9" style="153"/>
    <col min="4602" max="4602" width="6.8984375" style="153" customWidth="1"/>
    <col min="4603" max="4603" width="7.5" style="153" customWidth="1"/>
    <col min="4604" max="4604" width="6.69921875" style="153" customWidth="1"/>
    <col min="4605" max="4605" width="8.3984375" style="153" customWidth="1"/>
    <col min="4606" max="4606" width="4.5" style="153" customWidth="1"/>
    <col min="4607" max="4607" width="8.19921875" style="153" customWidth="1"/>
    <col min="4608" max="4608" width="3.69921875" style="153" customWidth="1"/>
    <col min="4609" max="4609" width="7.69921875" style="153" customWidth="1"/>
    <col min="4610" max="4610" width="3.69921875" style="153" customWidth="1"/>
    <col min="4611" max="4611" width="7.69921875" style="153" customWidth="1"/>
    <col min="4612" max="4612" width="3.69921875" style="153" customWidth="1"/>
    <col min="4613" max="4613" width="7.69921875" style="153" customWidth="1"/>
    <col min="4614" max="4614" width="3.69921875" style="153" customWidth="1"/>
    <col min="4615" max="4615" width="6.19921875" style="153" customWidth="1"/>
    <col min="4616" max="4616" width="9" style="153"/>
    <col min="4617" max="4617" width="12.59765625" style="153" customWidth="1"/>
    <col min="4618" max="4618" width="19.09765625" style="153" customWidth="1"/>
    <col min="4619" max="4619" width="4.69921875" style="153" customWidth="1"/>
    <col min="4620" max="4620" width="9.8984375" style="153" customWidth="1"/>
    <col min="4621" max="4621" width="11.3984375" style="153" customWidth="1"/>
    <col min="4622" max="4622" width="5.8984375" style="153" customWidth="1"/>
    <col min="4623" max="4624" width="9" style="153"/>
    <col min="4625" max="4625" width="6.09765625" style="153" customWidth="1"/>
    <col min="4626" max="4626" width="19.5" style="153" customWidth="1"/>
    <col min="4627" max="4857" width="9" style="153"/>
    <col min="4858" max="4858" width="6.8984375" style="153" customWidth="1"/>
    <col min="4859" max="4859" width="7.5" style="153" customWidth="1"/>
    <col min="4860" max="4860" width="6.69921875" style="153" customWidth="1"/>
    <col min="4861" max="4861" width="8.3984375" style="153" customWidth="1"/>
    <col min="4862" max="4862" width="4.5" style="153" customWidth="1"/>
    <col min="4863" max="4863" width="8.19921875" style="153" customWidth="1"/>
    <col min="4864" max="4864" width="3.69921875" style="153" customWidth="1"/>
    <col min="4865" max="4865" width="7.69921875" style="153" customWidth="1"/>
    <col min="4866" max="4866" width="3.69921875" style="153" customWidth="1"/>
    <col min="4867" max="4867" width="7.69921875" style="153" customWidth="1"/>
    <col min="4868" max="4868" width="3.69921875" style="153" customWidth="1"/>
    <col min="4869" max="4869" width="7.69921875" style="153" customWidth="1"/>
    <col min="4870" max="4870" width="3.69921875" style="153" customWidth="1"/>
    <col min="4871" max="4871" width="6.19921875" style="153" customWidth="1"/>
    <col min="4872" max="4872" width="9" style="153"/>
    <col min="4873" max="4873" width="12.59765625" style="153" customWidth="1"/>
    <col min="4874" max="4874" width="19.09765625" style="153" customWidth="1"/>
    <col min="4875" max="4875" width="4.69921875" style="153" customWidth="1"/>
    <col min="4876" max="4876" width="9.8984375" style="153" customWidth="1"/>
    <col min="4877" max="4877" width="11.3984375" style="153" customWidth="1"/>
    <col min="4878" max="4878" width="5.8984375" style="153" customWidth="1"/>
    <col min="4879" max="4880" width="9" style="153"/>
    <col min="4881" max="4881" width="6.09765625" style="153" customWidth="1"/>
    <col min="4882" max="4882" width="19.5" style="153" customWidth="1"/>
    <col min="4883" max="5113" width="9" style="153"/>
    <col min="5114" max="5114" width="6.8984375" style="153" customWidth="1"/>
    <col min="5115" max="5115" width="7.5" style="153" customWidth="1"/>
    <col min="5116" max="5116" width="6.69921875" style="153" customWidth="1"/>
    <col min="5117" max="5117" width="8.3984375" style="153" customWidth="1"/>
    <col min="5118" max="5118" width="4.5" style="153" customWidth="1"/>
    <col min="5119" max="5119" width="8.19921875" style="153" customWidth="1"/>
    <col min="5120" max="5120" width="3.69921875" style="153" customWidth="1"/>
    <col min="5121" max="5121" width="7.69921875" style="153" customWidth="1"/>
    <col min="5122" max="5122" width="3.69921875" style="153" customWidth="1"/>
    <col min="5123" max="5123" width="7.69921875" style="153" customWidth="1"/>
    <col min="5124" max="5124" width="3.69921875" style="153" customWidth="1"/>
    <col min="5125" max="5125" width="7.69921875" style="153" customWidth="1"/>
    <col min="5126" max="5126" width="3.69921875" style="153" customWidth="1"/>
    <col min="5127" max="5127" width="6.19921875" style="153" customWidth="1"/>
    <col min="5128" max="5128" width="9" style="153"/>
    <col min="5129" max="5129" width="12.59765625" style="153" customWidth="1"/>
    <col min="5130" max="5130" width="19.09765625" style="153" customWidth="1"/>
    <col min="5131" max="5131" width="4.69921875" style="153" customWidth="1"/>
    <col min="5132" max="5132" width="9.8984375" style="153" customWidth="1"/>
    <col min="5133" max="5133" width="11.3984375" style="153" customWidth="1"/>
    <col min="5134" max="5134" width="5.8984375" style="153" customWidth="1"/>
    <col min="5135" max="5136" width="9" style="153"/>
    <col min="5137" max="5137" width="6.09765625" style="153" customWidth="1"/>
    <col min="5138" max="5138" width="19.5" style="153" customWidth="1"/>
    <col min="5139" max="5369" width="9" style="153"/>
    <col min="5370" max="5370" width="6.8984375" style="153" customWidth="1"/>
    <col min="5371" max="5371" width="7.5" style="153" customWidth="1"/>
    <col min="5372" max="5372" width="6.69921875" style="153" customWidth="1"/>
    <col min="5373" max="5373" width="8.3984375" style="153" customWidth="1"/>
    <col min="5374" max="5374" width="4.5" style="153" customWidth="1"/>
    <col min="5375" max="5375" width="8.19921875" style="153" customWidth="1"/>
    <col min="5376" max="5376" width="3.69921875" style="153" customWidth="1"/>
    <col min="5377" max="5377" width="7.69921875" style="153" customWidth="1"/>
    <col min="5378" max="5378" width="3.69921875" style="153" customWidth="1"/>
    <col min="5379" max="5379" width="7.69921875" style="153" customWidth="1"/>
    <col min="5380" max="5380" width="3.69921875" style="153" customWidth="1"/>
    <col min="5381" max="5381" width="7.69921875" style="153" customWidth="1"/>
    <col min="5382" max="5382" width="3.69921875" style="153" customWidth="1"/>
    <col min="5383" max="5383" width="6.19921875" style="153" customWidth="1"/>
    <col min="5384" max="5384" width="9" style="153"/>
    <col min="5385" max="5385" width="12.59765625" style="153" customWidth="1"/>
    <col min="5386" max="5386" width="19.09765625" style="153" customWidth="1"/>
    <col min="5387" max="5387" width="4.69921875" style="153" customWidth="1"/>
    <col min="5388" max="5388" width="9.8984375" style="153" customWidth="1"/>
    <col min="5389" max="5389" width="11.3984375" style="153" customWidth="1"/>
    <col min="5390" max="5390" width="5.8984375" style="153" customWidth="1"/>
    <col min="5391" max="5392" width="9" style="153"/>
    <col min="5393" max="5393" width="6.09765625" style="153" customWidth="1"/>
    <col min="5394" max="5394" width="19.5" style="153" customWidth="1"/>
    <col min="5395" max="5625" width="9" style="153"/>
    <col min="5626" max="5626" width="6.8984375" style="153" customWidth="1"/>
    <col min="5627" max="5627" width="7.5" style="153" customWidth="1"/>
    <col min="5628" max="5628" width="6.69921875" style="153" customWidth="1"/>
    <col min="5629" max="5629" width="8.3984375" style="153" customWidth="1"/>
    <col min="5630" max="5630" width="4.5" style="153" customWidth="1"/>
    <col min="5631" max="5631" width="8.19921875" style="153" customWidth="1"/>
    <col min="5632" max="5632" width="3.69921875" style="153" customWidth="1"/>
    <col min="5633" max="5633" width="7.69921875" style="153" customWidth="1"/>
    <col min="5634" max="5634" width="3.69921875" style="153" customWidth="1"/>
    <col min="5635" max="5635" width="7.69921875" style="153" customWidth="1"/>
    <col min="5636" max="5636" width="3.69921875" style="153" customWidth="1"/>
    <col min="5637" max="5637" width="7.69921875" style="153" customWidth="1"/>
    <col min="5638" max="5638" width="3.69921875" style="153" customWidth="1"/>
    <col min="5639" max="5639" width="6.19921875" style="153" customWidth="1"/>
    <col min="5640" max="5640" width="9" style="153"/>
    <col min="5641" max="5641" width="12.59765625" style="153" customWidth="1"/>
    <col min="5642" max="5642" width="19.09765625" style="153" customWidth="1"/>
    <col min="5643" max="5643" width="4.69921875" style="153" customWidth="1"/>
    <col min="5644" max="5644" width="9.8984375" style="153" customWidth="1"/>
    <col min="5645" max="5645" width="11.3984375" style="153" customWidth="1"/>
    <col min="5646" max="5646" width="5.8984375" style="153" customWidth="1"/>
    <col min="5647" max="5648" width="9" style="153"/>
    <col min="5649" max="5649" width="6.09765625" style="153" customWidth="1"/>
    <col min="5650" max="5650" width="19.5" style="153" customWidth="1"/>
    <col min="5651" max="5881" width="9" style="153"/>
    <col min="5882" max="5882" width="6.8984375" style="153" customWidth="1"/>
    <col min="5883" max="5883" width="7.5" style="153" customWidth="1"/>
    <col min="5884" max="5884" width="6.69921875" style="153" customWidth="1"/>
    <col min="5885" max="5885" width="8.3984375" style="153" customWidth="1"/>
    <col min="5886" max="5886" width="4.5" style="153" customWidth="1"/>
    <col min="5887" max="5887" width="8.19921875" style="153" customWidth="1"/>
    <col min="5888" max="5888" width="3.69921875" style="153" customWidth="1"/>
    <col min="5889" max="5889" width="7.69921875" style="153" customWidth="1"/>
    <col min="5890" max="5890" width="3.69921875" style="153" customWidth="1"/>
    <col min="5891" max="5891" width="7.69921875" style="153" customWidth="1"/>
    <col min="5892" max="5892" width="3.69921875" style="153" customWidth="1"/>
    <col min="5893" max="5893" width="7.69921875" style="153" customWidth="1"/>
    <col min="5894" max="5894" width="3.69921875" style="153" customWidth="1"/>
    <col min="5895" max="5895" width="6.19921875" style="153" customWidth="1"/>
    <col min="5896" max="5896" width="9" style="153"/>
    <col min="5897" max="5897" width="12.59765625" style="153" customWidth="1"/>
    <col min="5898" max="5898" width="19.09765625" style="153" customWidth="1"/>
    <col min="5899" max="5899" width="4.69921875" style="153" customWidth="1"/>
    <col min="5900" max="5900" width="9.8984375" style="153" customWidth="1"/>
    <col min="5901" max="5901" width="11.3984375" style="153" customWidth="1"/>
    <col min="5902" max="5902" width="5.8984375" style="153" customWidth="1"/>
    <col min="5903" max="5904" width="9" style="153"/>
    <col min="5905" max="5905" width="6.09765625" style="153" customWidth="1"/>
    <col min="5906" max="5906" width="19.5" style="153" customWidth="1"/>
    <col min="5907" max="6137" width="9" style="153"/>
    <col min="6138" max="6138" width="6.8984375" style="153" customWidth="1"/>
    <col min="6139" max="6139" width="7.5" style="153" customWidth="1"/>
    <col min="6140" max="6140" width="6.69921875" style="153" customWidth="1"/>
    <col min="6141" max="6141" width="8.3984375" style="153" customWidth="1"/>
    <col min="6142" max="6142" width="4.5" style="153" customWidth="1"/>
    <col min="6143" max="6143" width="8.19921875" style="153" customWidth="1"/>
    <col min="6144" max="6144" width="3.69921875" style="153" customWidth="1"/>
    <col min="6145" max="6145" width="7.69921875" style="153" customWidth="1"/>
    <col min="6146" max="6146" width="3.69921875" style="153" customWidth="1"/>
    <col min="6147" max="6147" width="7.69921875" style="153" customWidth="1"/>
    <col min="6148" max="6148" width="3.69921875" style="153" customWidth="1"/>
    <col min="6149" max="6149" width="7.69921875" style="153" customWidth="1"/>
    <col min="6150" max="6150" width="3.69921875" style="153" customWidth="1"/>
    <col min="6151" max="6151" width="6.19921875" style="153" customWidth="1"/>
    <col min="6152" max="6152" width="9" style="153"/>
    <col min="6153" max="6153" width="12.59765625" style="153" customWidth="1"/>
    <col min="6154" max="6154" width="19.09765625" style="153" customWidth="1"/>
    <col min="6155" max="6155" width="4.69921875" style="153" customWidth="1"/>
    <col min="6156" max="6156" width="9.8984375" style="153" customWidth="1"/>
    <col min="6157" max="6157" width="11.3984375" style="153" customWidth="1"/>
    <col min="6158" max="6158" width="5.8984375" style="153" customWidth="1"/>
    <col min="6159" max="6160" width="9" style="153"/>
    <col min="6161" max="6161" width="6.09765625" style="153" customWidth="1"/>
    <col min="6162" max="6162" width="19.5" style="153" customWidth="1"/>
    <col min="6163" max="6393" width="9" style="153"/>
    <col min="6394" max="6394" width="6.8984375" style="153" customWidth="1"/>
    <col min="6395" max="6395" width="7.5" style="153" customWidth="1"/>
    <col min="6396" max="6396" width="6.69921875" style="153" customWidth="1"/>
    <col min="6397" max="6397" width="8.3984375" style="153" customWidth="1"/>
    <col min="6398" max="6398" width="4.5" style="153" customWidth="1"/>
    <col min="6399" max="6399" width="8.19921875" style="153" customWidth="1"/>
    <col min="6400" max="6400" width="3.69921875" style="153" customWidth="1"/>
    <col min="6401" max="6401" width="7.69921875" style="153" customWidth="1"/>
    <col min="6402" max="6402" width="3.69921875" style="153" customWidth="1"/>
    <col min="6403" max="6403" width="7.69921875" style="153" customWidth="1"/>
    <col min="6404" max="6404" width="3.69921875" style="153" customWidth="1"/>
    <col min="6405" max="6405" width="7.69921875" style="153" customWidth="1"/>
    <col min="6406" max="6406" width="3.69921875" style="153" customWidth="1"/>
    <col min="6407" max="6407" width="6.19921875" style="153" customWidth="1"/>
    <col min="6408" max="6408" width="9" style="153"/>
    <col min="6409" max="6409" width="12.59765625" style="153" customWidth="1"/>
    <col min="6410" max="6410" width="19.09765625" style="153" customWidth="1"/>
    <col min="6411" max="6411" width="4.69921875" style="153" customWidth="1"/>
    <col min="6412" max="6412" width="9.8984375" style="153" customWidth="1"/>
    <col min="6413" max="6413" width="11.3984375" style="153" customWidth="1"/>
    <col min="6414" max="6414" width="5.8984375" style="153" customWidth="1"/>
    <col min="6415" max="6416" width="9" style="153"/>
    <col min="6417" max="6417" width="6.09765625" style="153" customWidth="1"/>
    <col min="6418" max="6418" width="19.5" style="153" customWidth="1"/>
    <col min="6419" max="6649" width="9" style="153"/>
    <col min="6650" max="6650" width="6.8984375" style="153" customWidth="1"/>
    <col min="6651" max="6651" width="7.5" style="153" customWidth="1"/>
    <col min="6652" max="6652" width="6.69921875" style="153" customWidth="1"/>
    <col min="6653" max="6653" width="8.3984375" style="153" customWidth="1"/>
    <col min="6654" max="6654" width="4.5" style="153" customWidth="1"/>
    <col min="6655" max="6655" width="8.19921875" style="153" customWidth="1"/>
    <col min="6656" max="6656" width="3.69921875" style="153" customWidth="1"/>
    <col min="6657" max="6657" width="7.69921875" style="153" customWidth="1"/>
    <col min="6658" max="6658" width="3.69921875" style="153" customWidth="1"/>
    <col min="6659" max="6659" width="7.69921875" style="153" customWidth="1"/>
    <col min="6660" max="6660" width="3.69921875" style="153" customWidth="1"/>
    <col min="6661" max="6661" width="7.69921875" style="153" customWidth="1"/>
    <col min="6662" max="6662" width="3.69921875" style="153" customWidth="1"/>
    <col min="6663" max="6663" width="6.19921875" style="153" customWidth="1"/>
    <col min="6664" max="6664" width="9" style="153"/>
    <col min="6665" max="6665" width="12.59765625" style="153" customWidth="1"/>
    <col min="6666" max="6666" width="19.09765625" style="153" customWidth="1"/>
    <col min="6667" max="6667" width="4.69921875" style="153" customWidth="1"/>
    <col min="6668" max="6668" width="9.8984375" style="153" customWidth="1"/>
    <col min="6669" max="6669" width="11.3984375" style="153" customWidth="1"/>
    <col min="6670" max="6670" width="5.8984375" style="153" customWidth="1"/>
    <col min="6671" max="6672" width="9" style="153"/>
    <col min="6673" max="6673" width="6.09765625" style="153" customWidth="1"/>
    <col min="6674" max="6674" width="19.5" style="153" customWidth="1"/>
    <col min="6675" max="6905" width="9" style="153"/>
    <col min="6906" max="6906" width="6.8984375" style="153" customWidth="1"/>
    <col min="6907" max="6907" width="7.5" style="153" customWidth="1"/>
    <col min="6908" max="6908" width="6.69921875" style="153" customWidth="1"/>
    <col min="6909" max="6909" width="8.3984375" style="153" customWidth="1"/>
    <col min="6910" max="6910" width="4.5" style="153" customWidth="1"/>
    <col min="6911" max="6911" width="8.19921875" style="153" customWidth="1"/>
    <col min="6912" max="6912" width="3.69921875" style="153" customWidth="1"/>
    <col min="6913" max="6913" width="7.69921875" style="153" customWidth="1"/>
    <col min="6914" max="6914" width="3.69921875" style="153" customWidth="1"/>
    <col min="6915" max="6915" width="7.69921875" style="153" customWidth="1"/>
    <col min="6916" max="6916" width="3.69921875" style="153" customWidth="1"/>
    <col min="6917" max="6917" width="7.69921875" style="153" customWidth="1"/>
    <col min="6918" max="6918" width="3.69921875" style="153" customWidth="1"/>
    <col min="6919" max="6919" width="6.19921875" style="153" customWidth="1"/>
    <col min="6920" max="6920" width="9" style="153"/>
    <col min="6921" max="6921" width="12.59765625" style="153" customWidth="1"/>
    <col min="6922" max="6922" width="19.09765625" style="153" customWidth="1"/>
    <col min="6923" max="6923" width="4.69921875" style="153" customWidth="1"/>
    <col min="6924" max="6924" width="9.8984375" style="153" customWidth="1"/>
    <col min="6925" max="6925" width="11.3984375" style="153" customWidth="1"/>
    <col min="6926" max="6926" width="5.8984375" style="153" customWidth="1"/>
    <col min="6927" max="6928" width="9" style="153"/>
    <col min="6929" max="6929" width="6.09765625" style="153" customWidth="1"/>
    <col min="6930" max="6930" width="19.5" style="153" customWidth="1"/>
    <col min="6931" max="7161" width="9" style="153"/>
    <col min="7162" max="7162" width="6.8984375" style="153" customWidth="1"/>
    <col min="7163" max="7163" width="7.5" style="153" customWidth="1"/>
    <col min="7164" max="7164" width="6.69921875" style="153" customWidth="1"/>
    <col min="7165" max="7165" width="8.3984375" style="153" customWidth="1"/>
    <col min="7166" max="7166" width="4.5" style="153" customWidth="1"/>
    <col min="7167" max="7167" width="8.19921875" style="153" customWidth="1"/>
    <col min="7168" max="7168" width="3.69921875" style="153" customWidth="1"/>
    <col min="7169" max="7169" width="7.69921875" style="153" customWidth="1"/>
    <col min="7170" max="7170" width="3.69921875" style="153" customWidth="1"/>
    <col min="7171" max="7171" width="7.69921875" style="153" customWidth="1"/>
    <col min="7172" max="7172" width="3.69921875" style="153" customWidth="1"/>
    <col min="7173" max="7173" width="7.69921875" style="153" customWidth="1"/>
    <col min="7174" max="7174" width="3.69921875" style="153" customWidth="1"/>
    <col min="7175" max="7175" width="6.19921875" style="153" customWidth="1"/>
    <col min="7176" max="7176" width="9" style="153"/>
    <col min="7177" max="7177" width="12.59765625" style="153" customWidth="1"/>
    <col min="7178" max="7178" width="19.09765625" style="153" customWidth="1"/>
    <col min="7179" max="7179" width="4.69921875" style="153" customWidth="1"/>
    <col min="7180" max="7180" width="9.8984375" style="153" customWidth="1"/>
    <col min="7181" max="7181" width="11.3984375" style="153" customWidth="1"/>
    <col min="7182" max="7182" width="5.8984375" style="153" customWidth="1"/>
    <col min="7183" max="7184" width="9" style="153"/>
    <col min="7185" max="7185" width="6.09765625" style="153" customWidth="1"/>
    <col min="7186" max="7186" width="19.5" style="153" customWidth="1"/>
    <col min="7187" max="7417" width="9" style="153"/>
    <col min="7418" max="7418" width="6.8984375" style="153" customWidth="1"/>
    <col min="7419" max="7419" width="7.5" style="153" customWidth="1"/>
    <col min="7420" max="7420" width="6.69921875" style="153" customWidth="1"/>
    <col min="7421" max="7421" width="8.3984375" style="153" customWidth="1"/>
    <col min="7422" max="7422" width="4.5" style="153" customWidth="1"/>
    <col min="7423" max="7423" width="8.19921875" style="153" customWidth="1"/>
    <col min="7424" max="7424" width="3.69921875" style="153" customWidth="1"/>
    <col min="7425" max="7425" width="7.69921875" style="153" customWidth="1"/>
    <col min="7426" max="7426" width="3.69921875" style="153" customWidth="1"/>
    <col min="7427" max="7427" width="7.69921875" style="153" customWidth="1"/>
    <col min="7428" max="7428" width="3.69921875" style="153" customWidth="1"/>
    <col min="7429" max="7429" width="7.69921875" style="153" customWidth="1"/>
    <col min="7430" max="7430" width="3.69921875" style="153" customWidth="1"/>
    <col min="7431" max="7431" width="6.19921875" style="153" customWidth="1"/>
    <col min="7432" max="7432" width="9" style="153"/>
    <col min="7433" max="7433" width="12.59765625" style="153" customWidth="1"/>
    <col min="7434" max="7434" width="19.09765625" style="153" customWidth="1"/>
    <col min="7435" max="7435" width="4.69921875" style="153" customWidth="1"/>
    <col min="7436" max="7436" width="9.8984375" style="153" customWidth="1"/>
    <col min="7437" max="7437" width="11.3984375" style="153" customWidth="1"/>
    <col min="7438" max="7438" width="5.8984375" style="153" customWidth="1"/>
    <col min="7439" max="7440" width="9" style="153"/>
    <col min="7441" max="7441" width="6.09765625" style="153" customWidth="1"/>
    <col min="7442" max="7442" width="19.5" style="153" customWidth="1"/>
    <col min="7443" max="7673" width="9" style="153"/>
    <col min="7674" max="7674" width="6.8984375" style="153" customWidth="1"/>
    <col min="7675" max="7675" width="7.5" style="153" customWidth="1"/>
    <col min="7676" max="7676" width="6.69921875" style="153" customWidth="1"/>
    <col min="7677" max="7677" width="8.3984375" style="153" customWidth="1"/>
    <col min="7678" max="7678" width="4.5" style="153" customWidth="1"/>
    <col min="7679" max="7679" width="8.19921875" style="153" customWidth="1"/>
    <col min="7680" max="7680" width="3.69921875" style="153" customWidth="1"/>
    <col min="7681" max="7681" width="7.69921875" style="153" customWidth="1"/>
    <col min="7682" max="7682" width="3.69921875" style="153" customWidth="1"/>
    <col min="7683" max="7683" width="7.69921875" style="153" customWidth="1"/>
    <col min="7684" max="7684" width="3.69921875" style="153" customWidth="1"/>
    <col min="7685" max="7685" width="7.69921875" style="153" customWidth="1"/>
    <col min="7686" max="7686" width="3.69921875" style="153" customWidth="1"/>
    <col min="7687" max="7687" width="6.19921875" style="153" customWidth="1"/>
    <col min="7688" max="7688" width="9" style="153"/>
    <col min="7689" max="7689" width="12.59765625" style="153" customWidth="1"/>
    <col min="7690" max="7690" width="19.09765625" style="153" customWidth="1"/>
    <col min="7691" max="7691" width="4.69921875" style="153" customWidth="1"/>
    <col min="7692" max="7692" width="9.8984375" style="153" customWidth="1"/>
    <col min="7693" max="7693" width="11.3984375" style="153" customWidth="1"/>
    <col min="7694" max="7694" width="5.8984375" style="153" customWidth="1"/>
    <col min="7695" max="7696" width="9" style="153"/>
    <col min="7697" max="7697" width="6.09765625" style="153" customWidth="1"/>
    <col min="7698" max="7698" width="19.5" style="153" customWidth="1"/>
    <col min="7699" max="7929" width="9" style="153"/>
    <col min="7930" max="7930" width="6.8984375" style="153" customWidth="1"/>
    <col min="7931" max="7931" width="7.5" style="153" customWidth="1"/>
    <col min="7932" max="7932" width="6.69921875" style="153" customWidth="1"/>
    <col min="7933" max="7933" width="8.3984375" style="153" customWidth="1"/>
    <col min="7934" max="7934" width="4.5" style="153" customWidth="1"/>
    <col min="7935" max="7935" width="8.19921875" style="153" customWidth="1"/>
    <col min="7936" max="7936" width="3.69921875" style="153" customWidth="1"/>
    <col min="7937" max="7937" width="7.69921875" style="153" customWidth="1"/>
    <col min="7938" max="7938" width="3.69921875" style="153" customWidth="1"/>
    <col min="7939" max="7939" width="7.69921875" style="153" customWidth="1"/>
    <col min="7940" max="7940" width="3.69921875" style="153" customWidth="1"/>
    <col min="7941" max="7941" width="7.69921875" style="153" customWidth="1"/>
    <col min="7942" max="7942" width="3.69921875" style="153" customWidth="1"/>
    <col min="7943" max="7943" width="6.19921875" style="153" customWidth="1"/>
    <col min="7944" max="7944" width="9" style="153"/>
    <col min="7945" max="7945" width="12.59765625" style="153" customWidth="1"/>
    <col min="7946" max="7946" width="19.09765625" style="153" customWidth="1"/>
    <col min="7947" max="7947" width="4.69921875" style="153" customWidth="1"/>
    <col min="7948" max="7948" width="9.8984375" style="153" customWidth="1"/>
    <col min="7949" max="7949" width="11.3984375" style="153" customWidth="1"/>
    <col min="7950" max="7950" width="5.8984375" style="153" customWidth="1"/>
    <col min="7951" max="7952" width="9" style="153"/>
    <col min="7953" max="7953" width="6.09765625" style="153" customWidth="1"/>
    <col min="7954" max="7954" width="19.5" style="153" customWidth="1"/>
    <col min="7955" max="8185" width="9" style="153"/>
    <col min="8186" max="8186" width="6.8984375" style="153" customWidth="1"/>
    <col min="8187" max="8187" width="7.5" style="153" customWidth="1"/>
    <col min="8188" max="8188" width="6.69921875" style="153" customWidth="1"/>
    <col min="8189" max="8189" width="8.3984375" style="153" customWidth="1"/>
    <col min="8190" max="8190" width="4.5" style="153" customWidth="1"/>
    <col min="8191" max="8191" width="8.19921875" style="153" customWidth="1"/>
    <col min="8192" max="8192" width="3.69921875" style="153" customWidth="1"/>
    <col min="8193" max="8193" width="7.69921875" style="153" customWidth="1"/>
    <col min="8194" max="8194" width="3.69921875" style="153" customWidth="1"/>
    <col min="8195" max="8195" width="7.69921875" style="153" customWidth="1"/>
    <col min="8196" max="8196" width="3.69921875" style="153" customWidth="1"/>
    <col min="8197" max="8197" width="7.69921875" style="153" customWidth="1"/>
    <col min="8198" max="8198" width="3.69921875" style="153" customWidth="1"/>
    <col min="8199" max="8199" width="6.19921875" style="153" customWidth="1"/>
    <col min="8200" max="8200" width="9" style="153"/>
    <col min="8201" max="8201" width="12.59765625" style="153" customWidth="1"/>
    <col min="8202" max="8202" width="19.09765625" style="153" customWidth="1"/>
    <col min="8203" max="8203" width="4.69921875" style="153" customWidth="1"/>
    <col min="8204" max="8204" width="9.8984375" style="153" customWidth="1"/>
    <col min="8205" max="8205" width="11.3984375" style="153" customWidth="1"/>
    <col min="8206" max="8206" width="5.8984375" style="153" customWidth="1"/>
    <col min="8207" max="8208" width="9" style="153"/>
    <col min="8209" max="8209" width="6.09765625" style="153" customWidth="1"/>
    <col min="8210" max="8210" width="19.5" style="153" customWidth="1"/>
    <col min="8211" max="8441" width="9" style="153"/>
    <col min="8442" max="8442" width="6.8984375" style="153" customWidth="1"/>
    <col min="8443" max="8443" width="7.5" style="153" customWidth="1"/>
    <col min="8444" max="8444" width="6.69921875" style="153" customWidth="1"/>
    <col min="8445" max="8445" width="8.3984375" style="153" customWidth="1"/>
    <col min="8446" max="8446" width="4.5" style="153" customWidth="1"/>
    <col min="8447" max="8447" width="8.19921875" style="153" customWidth="1"/>
    <col min="8448" max="8448" width="3.69921875" style="153" customWidth="1"/>
    <col min="8449" max="8449" width="7.69921875" style="153" customWidth="1"/>
    <col min="8450" max="8450" width="3.69921875" style="153" customWidth="1"/>
    <col min="8451" max="8451" width="7.69921875" style="153" customWidth="1"/>
    <col min="8452" max="8452" width="3.69921875" style="153" customWidth="1"/>
    <col min="8453" max="8453" width="7.69921875" style="153" customWidth="1"/>
    <col min="8454" max="8454" width="3.69921875" style="153" customWidth="1"/>
    <col min="8455" max="8455" width="6.19921875" style="153" customWidth="1"/>
    <col min="8456" max="8456" width="9" style="153"/>
    <col min="8457" max="8457" width="12.59765625" style="153" customWidth="1"/>
    <col min="8458" max="8458" width="19.09765625" style="153" customWidth="1"/>
    <col min="8459" max="8459" width="4.69921875" style="153" customWidth="1"/>
    <col min="8460" max="8460" width="9.8984375" style="153" customWidth="1"/>
    <col min="8461" max="8461" width="11.3984375" style="153" customWidth="1"/>
    <col min="8462" max="8462" width="5.8984375" style="153" customWidth="1"/>
    <col min="8463" max="8464" width="9" style="153"/>
    <col min="8465" max="8465" width="6.09765625" style="153" customWidth="1"/>
    <col min="8466" max="8466" width="19.5" style="153" customWidth="1"/>
    <col min="8467" max="8697" width="9" style="153"/>
    <col min="8698" max="8698" width="6.8984375" style="153" customWidth="1"/>
    <col min="8699" max="8699" width="7.5" style="153" customWidth="1"/>
    <col min="8700" max="8700" width="6.69921875" style="153" customWidth="1"/>
    <col min="8701" max="8701" width="8.3984375" style="153" customWidth="1"/>
    <col min="8702" max="8702" width="4.5" style="153" customWidth="1"/>
    <col min="8703" max="8703" width="8.19921875" style="153" customWidth="1"/>
    <col min="8704" max="8704" width="3.69921875" style="153" customWidth="1"/>
    <col min="8705" max="8705" width="7.69921875" style="153" customWidth="1"/>
    <col min="8706" max="8706" width="3.69921875" style="153" customWidth="1"/>
    <col min="8707" max="8707" width="7.69921875" style="153" customWidth="1"/>
    <col min="8708" max="8708" width="3.69921875" style="153" customWidth="1"/>
    <col min="8709" max="8709" width="7.69921875" style="153" customWidth="1"/>
    <col min="8710" max="8710" width="3.69921875" style="153" customWidth="1"/>
    <col min="8711" max="8711" width="6.19921875" style="153" customWidth="1"/>
    <col min="8712" max="8712" width="9" style="153"/>
    <col min="8713" max="8713" width="12.59765625" style="153" customWidth="1"/>
    <col min="8714" max="8714" width="19.09765625" style="153" customWidth="1"/>
    <col min="8715" max="8715" width="4.69921875" style="153" customWidth="1"/>
    <col min="8716" max="8716" width="9.8984375" style="153" customWidth="1"/>
    <col min="8717" max="8717" width="11.3984375" style="153" customWidth="1"/>
    <col min="8718" max="8718" width="5.8984375" style="153" customWidth="1"/>
    <col min="8719" max="8720" width="9" style="153"/>
    <col min="8721" max="8721" width="6.09765625" style="153" customWidth="1"/>
    <col min="8722" max="8722" width="19.5" style="153" customWidth="1"/>
    <col min="8723" max="8953" width="9" style="153"/>
    <col min="8954" max="8954" width="6.8984375" style="153" customWidth="1"/>
    <col min="8955" max="8955" width="7.5" style="153" customWidth="1"/>
    <col min="8956" max="8956" width="6.69921875" style="153" customWidth="1"/>
    <col min="8957" max="8957" width="8.3984375" style="153" customWidth="1"/>
    <col min="8958" max="8958" width="4.5" style="153" customWidth="1"/>
    <col min="8959" max="8959" width="8.19921875" style="153" customWidth="1"/>
    <col min="8960" max="8960" width="3.69921875" style="153" customWidth="1"/>
    <col min="8961" max="8961" width="7.69921875" style="153" customWidth="1"/>
    <col min="8962" max="8962" width="3.69921875" style="153" customWidth="1"/>
    <col min="8963" max="8963" width="7.69921875" style="153" customWidth="1"/>
    <col min="8964" max="8964" width="3.69921875" style="153" customWidth="1"/>
    <col min="8965" max="8965" width="7.69921875" style="153" customWidth="1"/>
    <col min="8966" max="8966" width="3.69921875" style="153" customWidth="1"/>
    <col min="8967" max="8967" width="6.19921875" style="153" customWidth="1"/>
    <col min="8968" max="8968" width="9" style="153"/>
    <col min="8969" max="8969" width="12.59765625" style="153" customWidth="1"/>
    <col min="8970" max="8970" width="19.09765625" style="153" customWidth="1"/>
    <col min="8971" max="8971" width="4.69921875" style="153" customWidth="1"/>
    <col min="8972" max="8972" width="9.8984375" style="153" customWidth="1"/>
    <col min="8973" max="8973" width="11.3984375" style="153" customWidth="1"/>
    <col min="8974" max="8974" width="5.8984375" style="153" customWidth="1"/>
    <col min="8975" max="8976" width="9" style="153"/>
    <col min="8977" max="8977" width="6.09765625" style="153" customWidth="1"/>
    <col min="8978" max="8978" width="19.5" style="153" customWidth="1"/>
    <col min="8979" max="9209" width="9" style="153"/>
    <col min="9210" max="9210" width="6.8984375" style="153" customWidth="1"/>
    <col min="9211" max="9211" width="7.5" style="153" customWidth="1"/>
    <col min="9212" max="9212" width="6.69921875" style="153" customWidth="1"/>
    <col min="9213" max="9213" width="8.3984375" style="153" customWidth="1"/>
    <col min="9214" max="9214" width="4.5" style="153" customWidth="1"/>
    <col min="9215" max="9215" width="8.19921875" style="153" customWidth="1"/>
    <col min="9216" max="9216" width="3.69921875" style="153" customWidth="1"/>
    <col min="9217" max="9217" width="7.69921875" style="153" customWidth="1"/>
    <col min="9218" max="9218" width="3.69921875" style="153" customWidth="1"/>
    <col min="9219" max="9219" width="7.69921875" style="153" customWidth="1"/>
    <col min="9220" max="9220" width="3.69921875" style="153" customWidth="1"/>
    <col min="9221" max="9221" width="7.69921875" style="153" customWidth="1"/>
    <col min="9222" max="9222" width="3.69921875" style="153" customWidth="1"/>
    <col min="9223" max="9223" width="6.19921875" style="153" customWidth="1"/>
    <col min="9224" max="9224" width="9" style="153"/>
    <col min="9225" max="9225" width="12.59765625" style="153" customWidth="1"/>
    <col min="9226" max="9226" width="19.09765625" style="153" customWidth="1"/>
    <col min="9227" max="9227" width="4.69921875" style="153" customWidth="1"/>
    <col min="9228" max="9228" width="9.8984375" style="153" customWidth="1"/>
    <col min="9229" max="9229" width="11.3984375" style="153" customWidth="1"/>
    <col min="9230" max="9230" width="5.8984375" style="153" customWidth="1"/>
    <col min="9231" max="9232" width="9" style="153"/>
    <col min="9233" max="9233" width="6.09765625" style="153" customWidth="1"/>
    <col min="9234" max="9234" width="19.5" style="153" customWidth="1"/>
    <col min="9235" max="9465" width="9" style="153"/>
    <col min="9466" max="9466" width="6.8984375" style="153" customWidth="1"/>
    <col min="9467" max="9467" width="7.5" style="153" customWidth="1"/>
    <col min="9468" max="9468" width="6.69921875" style="153" customWidth="1"/>
    <col min="9469" max="9469" width="8.3984375" style="153" customWidth="1"/>
    <col min="9470" max="9470" width="4.5" style="153" customWidth="1"/>
    <col min="9471" max="9471" width="8.19921875" style="153" customWidth="1"/>
    <col min="9472" max="9472" width="3.69921875" style="153" customWidth="1"/>
    <col min="9473" max="9473" width="7.69921875" style="153" customWidth="1"/>
    <col min="9474" max="9474" width="3.69921875" style="153" customWidth="1"/>
    <col min="9475" max="9475" width="7.69921875" style="153" customWidth="1"/>
    <col min="9476" max="9476" width="3.69921875" style="153" customWidth="1"/>
    <col min="9477" max="9477" width="7.69921875" style="153" customWidth="1"/>
    <col min="9478" max="9478" width="3.69921875" style="153" customWidth="1"/>
    <col min="9479" max="9479" width="6.19921875" style="153" customWidth="1"/>
    <col min="9480" max="9480" width="9" style="153"/>
    <col min="9481" max="9481" width="12.59765625" style="153" customWidth="1"/>
    <col min="9482" max="9482" width="19.09765625" style="153" customWidth="1"/>
    <col min="9483" max="9483" width="4.69921875" style="153" customWidth="1"/>
    <col min="9484" max="9484" width="9.8984375" style="153" customWidth="1"/>
    <col min="9485" max="9485" width="11.3984375" style="153" customWidth="1"/>
    <col min="9486" max="9486" width="5.8984375" style="153" customWidth="1"/>
    <col min="9487" max="9488" width="9" style="153"/>
    <col min="9489" max="9489" width="6.09765625" style="153" customWidth="1"/>
    <col min="9490" max="9490" width="19.5" style="153" customWidth="1"/>
    <col min="9491" max="9721" width="9" style="153"/>
    <col min="9722" max="9722" width="6.8984375" style="153" customWidth="1"/>
    <col min="9723" max="9723" width="7.5" style="153" customWidth="1"/>
    <col min="9724" max="9724" width="6.69921875" style="153" customWidth="1"/>
    <col min="9725" max="9725" width="8.3984375" style="153" customWidth="1"/>
    <col min="9726" max="9726" width="4.5" style="153" customWidth="1"/>
    <col min="9727" max="9727" width="8.19921875" style="153" customWidth="1"/>
    <col min="9728" max="9728" width="3.69921875" style="153" customWidth="1"/>
    <col min="9729" max="9729" width="7.69921875" style="153" customWidth="1"/>
    <col min="9730" max="9730" width="3.69921875" style="153" customWidth="1"/>
    <col min="9731" max="9731" width="7.69921875" style="153" customWidth="1"/>
    <col min="9732" max="9732" width="3.69921875" style="153" customWidth="1"/>
    <col min="9733" max="9733" width="7.69921875" style="153" customWidth="1"/>
    <col min="9734" max="9734" width="3.69921875" style="153" customWidth="1"/>
    <col min="9735" max="9735" width="6.19921875" style="153" customWidth="1"/>
    <col min="9736" max="9736" width="9" style="153"/>
    <col min="9737" max="9737" width="12.59765625" style="153" customWidth="1"/>
    <col min="9738" max="9738" width="19.09765625" style="153" customWidth="1"/>
    <col min="9739" max="9739" width="4.69921875" style="153" customWidth="1"/>
    <col min="9740" max="9740" width="9.8984375" style="153" customWidth="1"/>
    <col min="9741" max="9741" width="11.3984375" style="153" customWidth="1"/>
    <col min="9742" max="9742" width="5.8984375" style="153" customWidth="1"/>
    <col min="9743" max="9744" width="9" style="153"/>
    <col min="9745" max="9745" width="6.09765625" style="153" customWidth="1"/>
    <col min="9746" max="9746" width="19.5" style="153" customWidth="1"/>
    <col min="9747" max="9977" width="9" style="153"/>
    <col min="9978" max="9978" width="6.8984375" style="153" customWidth="1"/>
    <col min="9979" max="9979" width="7.5" style="153" customWidth="1"/>
    <col min="9980" max="9980" width="6.69921875" style="153" customWidth="1"/>
    <col min="9981" max="9981" width="8.3984375" style="153" customWidth="1"/>
    <col min="9982" max="9982" width="4.5" style="153" customWidth="1"/>
    <col min="9983" max="9983" width="8.19921875" style="153" customWidth="1"/>
    <col min="9984" max="9984" width="3.69921875" style="153" customWidth="1"/>
    <col min="9985" max="9985" width="7.69921875" style="153" customWidth="1"/>
    <col min="9986" max="9986" width="3.69921875" style="153" customWidth="1"/>
    <col min="9987" max="9987" width="7.69921875" style="153" customWidth="1"/>
    <col min="9988" max="9988" width="3.69921875" style="153" customWidth="1"/>
    <col min="9989" max="9989" width="7.69921875" style="153" customWidth="1"/>
    <col min="9990" max="9990" width="3.69921875" style="153" customWidth="1"/>
    <col min="9991" max="9991" width="6.19921875" style="153" customWidth="1"/>
    <col min="9992" max="9992" width="9" style="153"/>
    <col min="9993" max="9993" width="12.59765625" style="153" customWidth="1"/>
    <col min="9994" max="9994" width="19.09765625" style="153" customWidth="1"/>
    <col min="9995" max="9995" width="4.69921875" style="153" customWidth="1"/>
    <col min="9996" max="9996" width="9.8984375" style="153" customWidth="1"/>
    <col min="9997" max="9997" width="11.3984375" style="153" customWidth="1"/>
    <col min="9998" max="9998" width="5.8984375" style="153" customWidth="1"/>
    <col min="9999" max="10000" width="9" style="153"/>
    <col min="10001" max="10001" width="6.09765625" style="153" customWidth="1"/>
    <col min="10002" max="10002" width="19.5" style="153" customWidth="1"/>
    <col min="10003" max="10233" width="9" style="153"/>
    <col min="10234" max="10234" width="6.8984375" style="153" customWidth="1"/>
    <col min="10235" max="10235" width="7.5" style="153" customWidth="1"/>
    <col min="10236" max="10236" width="6.69921875" style="153" customWidth="1"/>
    <col min="10237" max="10237" width="8.3984375" style="153" customWidth="1"/>
    <col min="10238" max="10238" width="4.5" style="153" customWidth="1"/>
    <col min="10239" max="10239" width="8.19921875" style="153" customWidth="1"/>
    <col min="10240" max="10240" width="3.69921875" style="153" customWidth="1"/>
    <col min="10241" max="10241" width="7.69921875" style="153" customWidth="1"/>
    <col min="10242" max="10242" width="3.69921875" style="153" customWidth="1"/>
    <col min="10243" max="10243" width="7.69921875" style="153" customWidth="1"/>
    <col min="10244" max="10244" width="3.69921875" style="153" customWidth="1"/>
    <col min="10245" max="10245" width="7.69921875" style="153" customWidth="1"/>
    <col min="10246" max="10246" width="3.69921875" style="153" customWidth="1"/>
    <col min="10247" max="10247" width="6.19921875" style="153" customWidth="1"/>
    <col min="10248" max="10248" width="9" style="153"/>
    <col min="10249" max="10249" width="12.59765625" style="153" customWidth="1"/>
    <col min="10250" max="10250" width="19.09765625" style="153" customWidth="1"/>
    <col min="10251" max="10251" width="4.69921875" style="153" customWidth="1"/>
    <col min="10252" max="10252" width="9.8984375" style="153" customWidth="1"/>
    <col min="10253" max="10253" width="11.3984375" style="153" customWidth="1"/>
    <col min="10254" max="10254" width="5.8984375" style="153" customWidth="1"/>
    <col min="10255" max="10256" width="9" style="153"/>
    <col min="10257" max="10257" width="6.09765625" style="153" customWidth="1"/>
    <col min="10258" max="10258" width="19.5" style="153" customWidth="1"/>
    <col min="10259" max="10489" width="9" style="153"/>
    <col min="10490" max="10490" width="6.8984375" style="153" customWidth="1"/>
    <col min="10491" max="10491" width="7.5" style="153" customWidth="1"/>
    <col min="10492" max="10492" width="6.69921875" style="153" customWidth="1"/>
    <col min="10493" max="10493" width="8.3984375" style="153" customWidth="1"/>
    <col min="10494" max="10494" width="4.5" style="153" customWidth="1"/>
    <col min="10495" max="10495" width="8.19921875" style="153" customWidth="1"/>
    <col min="10496" max="10496" width="3.69921875" style="153" customWidth="1"/>
    <col min="10497" max="10497" width="7.69921875" style="153" customWidth="1"/>
    <col min="10498" max="10498" width="3.69921875" style="153" customWidth="1"/>
    <col min="10499" max="10499" width="7.69921875" style="153" customWidth="1"/>
    <col min="10500" max="10500" width="3.69921875" style="153" customWidth="1"/>
    <col min="10501" max="10501" width="7.69921875" style="153" customWidth="1"/>
    <col min="10502" max="10502" width="3.69921875" style="153" customWidth="1"/>
    <col min="10503" max="10503" width="6.19921875" style="153" customWidth="1"/>
    <col min="10504" max="10504" width="9" style="153"/>
    <col min="10505" max="10505" width="12.59765625" style="153" customWidth="1"/>
    <col min="10506" max="10506" width="19.09765625" style="153" customWidth="1"/>
    <col min="10507" max="10507" width="4.69921875" style="153" customWidth="1"/>
    <col min="10508" max="10508" width="9.8984375" style="153" customWidth="1"/>
    <col min="10509" max="10509" width="11.3984375" style="153" customWidth="1"/>
    <col min="10510" max="10510" width="5.8984375" style="153" customWidth="1"/>
    <col min="10511" max="10512" width="9" style="153"/>
    <col min="10513" max="10513" width="6.09765625" style="153" customWidth="1"/>
    <col min="10514" max="10514" width="19.5" style="153" customWidth="1"/>
    <col min="10515" max="10745" width="9" style="153"/>
    <col min="10746" max="10746" width="6.8984375" style="153" customWidth="1"/>
    <col min="10747" max="10747" width="7.5" style="153" customWidth="1"/>
    <col min="10748" max="10748" width="6.69921875" style="153" customWidth="1"/>
    <col min="10749" max="10749" width="8.3984375" style="153" customWidth="1"/>
    <col min="10750" max="10750" width="4.5" style="153" customWidth="1"/>
    <col min="10751" max="10751" width="8.19921875" style="153" customWidth="1"/>
    <col min="10752" max="10752" width="3.69921875" style="153" customWidth="1"/>
    <col min="10753" max="10753" width="7.69921875" style="153" customWidth="1"/>
    <col min="10754" max="10754" width="3.69921875" style="153" customWidth="1"/>
    <col min="10755" max="10755" width="7.69921875" style="153" customWidth="1"/>
    <col min="10756" max="10756" width="3.69921875" style="153" customWidth="1"/>
    <col min="10757" max="10757" width="7.69921875" style="153" customWidth="1"/>
    <col min="10758" max="10758" width="3.69921875" style="153" customWidth="1"/>
    <col min="10759" max="10759" width="6.19921875" style="153" customWidth="1"/>
    <col min="10760" max="10760" width="9" style="153"/>
    <col min="10761" max="10761" width="12.59765625" style="153" customWidth="1"/>
    <col min="10762" max="10762" width="19.09765625" style="153" customWidth="1"/>
    <col min="10763" max="10763" width="4.69921875" style="153" customWidth="1"/>
    <col min="10764" max="10764" width="9.8984375" style="153" customWidth="1"/>
    <col min="10765" max="10765" width="11.3984375" style="153" customWidth="1"/>
    <col min="10766" max="10766" width="5.8984375" style="153" customWidth="1"/>
    <col min="10767" max="10768" width="9" style="153"/>
    <col min="10769" max="10769" width="6.09765625" style="153" customWidth="1"/>
    <col min="10770" max="10770" width="19.5" style="153" customWidth="1"/>
    <col min="10771" max="11001" width="9" style="153"/>
    <col min="11002" max="11002" width="6.8984375" style="153" customWidth="1"/>
    <col min="11003" max="11003" width="7.5" style="153" customWidth="1"/>
    <col min="11004" max="11004" width="6.69921875" style="153" customWidth="1"/>
    <col min="11005" max="11005" width="8.3984375" style="153" customWidth="1"/>
    <col min="11006" max="11006" width="4.5" style="153" customWidth="1"/>
    <col min="11007" max="11007" width="8.19921875" style="153" customWidth="1"/>
    <col min="11008" max="11008" width="3.69921875" style="153" customWidth="1"/>
    <col min="11009" max="11009" width="7.69921875" style="153" customWidth="1"/>
    <col min="11010" max="11010" width="3.69921875" style="153" customWidth="1"/>
    <col min="11011" max="11011" width="7.69921875" style="153" customWidth="1"/>
    <col min="11012" max="11012" width="3.69921875" style="153" customWidth="1"/>
    <col min="11013" max="11013" width="7.69921875" style="153" customWidth="1"/>
    <col min="11014" max="11014" width="3.69921875" style="153" customWidth="1"/>
    <col min="11015" max="11015" width="6.19921875" style="153" customWidth="1"/>
    <col min="11016" max="11016" width="9" style="153"/>
    <col min="11017" max="11017" width="12.59765625" style="153" customWidth="1"/>
    <col min="11018" max="11018" width="19.09765625" style="153" customWidth="1"/>
    <col min="11019" max="11019" width="4.69921875" style="153" customWidth="1"/>
    <col min="11020" max="11020" width="9.8984375" style="153" customWidth="1"/>
    <col min="11021" max="11021" width="11.3984375" style="153" customWidth="1"/>
    <col min="11022" max="11022" width="5.8984375" style="153" customWidth="1"/>
    <col min="11023" max="11024" width="9" style="153"/>
    <col min="11025" max="11025" width="6.09765625" style="153" customWidth="1"/>
    <col min="11026" max="11026" width="19.5" style="153" customWidth="1"/>
    <col min="11027" max="11257" width="9" style="153"/>
    <col min="11258" max="11258" width="6.8984375" style="153" customWidth="1"/>
    <col min="11259" max="11259" width="7.5" style="153" customWidth="1"/>
    <col min="11260" max="11260" width="6.69921875" style="153" customWidth="1"/>
    <col min="11261" max="11261" width="8.3984375" style="153" customWidth="1"/>
    <col min="11262" max="11262" width="4.5" style="153" customWidth="1"/>
    <col min="11263" max="11263" width="8.19921875" style="153" customWidth="1"/>
    <col min="11264" max="11264" width="3.69921875" style="153" customWidth="1"/>
    <col min="11265" max="11265" width="7.69921875" style="153" customWidth="1"/>
    <col min="11266" max="11266" width="3.69921875" style="153" customWidth="1"/>
    <col min="11267" max="11267" width="7.69921875" style="153" customWidth="1"/>
    <col min="11268" max="11268" width="3.69921875" style="153" customWidth="1"/>
    <col min="11269" max="11269" width="7.69921875" style="153" customWidth="1"/>
    <col min="11270" max="11270" width="3.69921875" style="153" customWidth="1"/>
    <col min="11271" max="11271" width="6.19921875" style="153" customWidth="1"/>
    <col min="11272" max="11272" width="9" style="153"/>
    <col min="11273" max="11273" width="12.59765625" style="153" customWidth="1"/>
    <col min="11274" max="11274" width="19.09765625" style="153" customWidth="1"/>
    <col min="11275" max="11275" width="4.69921875" style="153" customWidth="1"/>
    <col min="11276" max="11276" width="9.8984375" style="153" customWidth="1"/>
    <col min="11277" max="11277" width="11.3984375" style="153" customWidth="1"/>
    <col min="11278" max="11278" width="5.8984375" style="153" customWidth="1"/>
    <col min="11279" max="11280" width="9" style="153"/>
    <col min="11281" max="11281" width="6.09765625" style="153" customWidth="1"/>
    <col min="11282" max="11282" width="19.5" style="153" customWidth="1"/>
    <col min="11283" max="11513" width="9" style="153"/>
    <col min="11514" max="11514" width="6.8984375" style="153" customWidth="1"/>
    <col min="11515" max="11515" width="7.5" style="153" customWidth="1"/>
    <col min="11516" max="11516" width="6.69921875" style="153" customWidth="1"/>
    <col min="11517" max="11517" width="8.3984375" style="153" customWidth="1"/>
    <col min="11518" max="11518" width="4.5" style="153" customWidth="1"/>
    <col min="11519" max="11519" width="8.19921875" style="153" customWidth="1"/>
    <col min="11520" max="11520" width="3.69921875" style="153" customWidth="1"/>
    <col min="11521" max="11521" width="7.69921875" style="153" customWidth="1"/>
    <col min="11522" max="11522" width="3.69921875" style="153" customWidth="1"/>
    <col min="11523" max="11523" width="7.69921875" style="153" customWidth="1"/>
    <col min="11524" max="11524" width="3.69921875" style="153" customWidth="1"/>
    <col min="11525" max="11525" width="7.69921875" style="153" customWidth="1"/>
    <col min="11526" max="11526" width="3.69921875" style="153" customWidth="1"/>
    <col min="11527" max="11527" width="6.19921875" style="153" customWidth="1"/>
    <col min="11528" max="11528" width="9" style="153"/>
    <col min="11529" max="11529" width="12.59765625" style="153" customWidth="1"/>
    <col min="11530" max="11530" width="19.09765625" style="153" customWidth="1"/>
    <col min="11531" max="11531" width="4.69921875" style="153" customWidth="1"/>
    <col min="11532" max="11532" width="9.8984375" style="153" customWidth="1"/>
    <col min="11533" max="11533" width="11.3984375" style="153" customWidth="1"/>
    <col min="11534" max="11534" width="5.8984375" style="153" customWidth="1"/>
    <col min="11535" max="11536" width="9" style="153"/>
    <col min="11537" max="11537" width="6.09765625" style="153" customWidth="1"/>
    <col min="11538" max="11538" width="19.5" style="153" customWidth="1"/>
    <col min="11539" max="11769" width="9" style="153"/>
    <col min="11770" max="11770" width="6.8984375" style="153" customWidth="1"/>
    <col min="11771" max="11771" width="7.5" style="153" customWidth="1"/>
    <col min="11772" max="11772" width="6.69921875" style="153" customWidth="1"/>
    <col min="11773" max="11773" width="8.3984375" style="153" customWidth="1"/>
    <col min="11774" max="11774" width="4.5" style="153" customWidth="1"/>
    <col min="11775" max="11775" width="8.19921875" style="153" customWidth="1"/>
    <col min="11776" max="11776" width="3.69921875" style="153" customWidth="1"/>
    <col min="11777" max="11777" width="7.69921875" style="153" customWidth="1"/>
    <col min="11778" max="11778" width="3.69921875" style="153" customWidth="1"/>
    <col min="11779" max="11779" width="7.69921875" style="153" customWidth="1"/>
    <col min="11780" max="11780" width="3.69921875" style="153" customWidth="1"/>
    <col min="11781" max="11781" width="7.69921875" style="153" customWidth="1"/>
    <col min="11782" max="11782" width="3.69921875" style="153" customWidth="1"/>
    <col min="11783" max="11783" width="6.19921875" style="153" customWidth="1"/>
    <col min="11784" max="11784" width="9" style="153"/>
    <col min="11785" max="11785" width="12.59765625" style="153" customWidth="1"/>
    <col min="11786" max="11786" width="19.09765625" style="153" customWidth="1"/>
    <col min="11787" max="11787" width="4.69921875" style="153" customWidth="1"/>
    <col min="11788" max="11788" width="9.8984375" style="153" customWidth="1"/>
    <col min="11789" max="11789" width="11.3984375" style="153" customWidth="1"/>
    <col min="11790" max="11790" width="5.8984375" style="153" customWidth="1"/>
    <col min="11791" max="11792" width="9" style="153"/>
    <col min="11793" max="11793" width="6.09765625" style="153" customWidth="1"/>
    <col min="11794" max="11794" width="19.5" style="153" customWidth="1"/>
    <col min="11795" max="12025" width="9" style="153"/>
    <col min="12026" max="12026" width="6.8984375" style="153" customWidth="1"/>
    <col min="12027" max="12027" width="7.5" style="153" customWidth="1"/>
    <col min="12028" max="12028" width="6.69921875" style="153" customWidth="1"/>
    <col min="12029" max="12029" width="8.3984375" style="153" customWidth="1"/>
    <col min="12030" max="12030" width="4.5" style="153" customWidth="1"/>
    <col min="12031" max="12031" width="8.19921875" style="153" customWidth="1"/>
    <col min="12032" max="12032" width="3.69921875" style="153" customWidth="1"/>
    <col min="12033" max="12033" width="7.69921875" style="153" customWidth="1"/>
    <col min="12034" max="12034" width="3.69921875" style="153" customWidth="1"/>
    <col min="12035" max="12035" width="7.69921875" style="153" customWidth="1"/>
    <col min="12036" max="12036" width="3.69921875" style="153" customWidth="1"/>
    <col min="12037" max="12037" width="7.69921875" style="153" customWidth="1"/>
    <col min="12038" max="12038" width="3.69921875" style="153" customWidth="1"/>
    <col min="12039" max="12039" width="6.19921875" style="153" customWidth="1"/>
    <col min="12040" max="12040" width="9" style="153"/>
    <col min="12041" max="12041" width="12.59765625" style="153" customWidth="1"/>
    <col min="12042" max="12042" width="19.09765625" style="153" customWidth="1"/>
    <col min="12043" max="12043" width="4.69921875" style="153" customWidth="1"/>
    <col min="12044" max="12044" width="9.8984375" style="153" customWidth="1"/>
    <col min="12045" max="12045" width="11.3984375" style="153" customWidth="1"/>
    <col min="12046" max="12046" width="5.8984375" style="153" customWidth="1"/>
    <col min="12047" max="12048" width="9" style="153"/>
    <col min="12049" max="12049" width="6.09765625" style="153" customWidth="1"/>
    <col min="12050" max="12050" width="19.5" style="153" customWidth="1"/>
    <col min="12051" max="12281" width="9" style="153"/>
    <col min="12282" max="12282" width="6.8984375" style="153" customWidth="1"/>
    <col min="12283" max="12283" width="7.5" style="153" customWidth="1"/>
    <col min="12284" max="12284" width="6.69921875" style="153" customWidth="1"/>
    <col min="12285" max="12285" width="8.3984375" style="153" customWidth="1"/>
    <col min="12286" max="12286" width="4.5" style="153" customWidth="1"/>
    <col min="12287" max="12287" width="8.19921875" style="153" customWidth="1"/>
    <col min="12288" max="12288" width="3.69921875" style="153" customWidth="1"/>
    <col min="12289" max="12289" width="7.69921875" style="153" customWidth="1"/>
    <col min="12290" max="12290" width="3.69921875" style="153" customWidth="1"/>
    <col min="12291" max="12291" width="7.69921875" style="153" customWidth="1"/>
    <col min="12292" max="12292" width="3.69921875" style="153" customWidth="1"/>
    <col min="12293" max="12293" width="7.69921875" style="153" customWidth="1"/>
    <col min="12294" max="12294" width="3.69921875" style="153" customWidth="1"/>
    <col min="12295" max="12295" width="6.19921875" style="153" customWidth="1"/>
    <col min="12296" max="12296" width="9" style="153"/>
    <col min="12297" max="12297" width="12.59765625" style="153" customWidth="1"/>
    <col min="12298" max="12298" width="19.09765625" style="153" customWidth="1"/>
    <col min="12299" max="12299" width="4.69921875" style="153" customWidth="1"/>
    <col min="12300" max="12300" width="9.8984375" style="153" customWidth="1"/>
    <col min="12301" max="12301" width="11.3984375" style="153" customWidth="1"/>
    <col min="12302" max="12302" width="5.8984375" style="153" customWidth="1"/>
    <col min="12303" max="12304" width="9" style="153"/>
    <col min="12305" max="12305" width="6.09765625" style="153" customWidth="1"/>
    <col min="12306" max="12306" width="19.5" style="153" customWidth="1"/>
    <col min="12307" max="12537" width="9" style="153"/>
    <col min="12538" max="12538" width="6.8984375" style="153" customWidth="1"/>
    <col min="12539" max="12539" width="7.5" style="153" customWidth="1"/>
    <col min="12540" max="12540" width="6.69921875" style="153" customWidth="1"/>
    <col min="12541" max="12541" width="8.3984375" style="153" customWidth="1"/>
    <col min="12542" max="12542" width="4.5" style="153" customWidth="1"/>
    <col min="12543" max="12543" width="8.19921875" style="153" customWidth="1"/>
    <col min="12544" max="12544" width="3.69921875" style="153" customWidth="1"/>
    <col min="12545" max="12545" width="7.69921875" style="153" customWidth="1"/>
    <col min="12546" max="12546" width="3.69921875" style="153" customWidth="1"/>
    <col min="12547" max="12547" width="7.69921875" style="153" customWidth="1"/>
    <col min="12548" max="12548" width="3.69921875" style="153" customWidth="1"/>
    <col min="12549" max="12549" width="7.69921875" style="153" customWidth="1"/>
    <col min="12550" max="12550" width="3.69921875" style="153" customWidth="1"/>
    <col min="12551" max="12551" width="6.19921875" style="153" customWidth="1"/>
    <col min="12552" max="12552" width="9" style="153"/>
    <col min="12553" max="12553" width="12.59765625" style="153" customWidth="1"/>
    <col min="12554" max="12554" width="19.09765625" style="153" customWidth="1"/>
    <col min="12555" max="12555" width="4.69921875" style="153" customWidth="1"/>
    <col min="12556" max="12556" width="9.8984375" style="153" customWidth="1"/>
    <col min="12557" max="12557" width="11.3984375" style="153" customWidth="1"/>
    <col min="12558" max="12558" width="5.8984375" style="153" customWidth="1"/>
    <col min="12559" max="12560" width="9" style="153"/>
    <col min="12561" max="12561" width="6.09765625" style="153" customWidth="1"/>
    <col min="12562" max="12562" width="19.5" style="153" customWidth="1"/>
    <col min="12563" max="12793" width="9" style="153"/>
    <col min="12794" max="12794" width="6.8984375" style="153" customWidth="1"/>
    <col min="12795" max="12795" width="7.5" style="153" customWidth="1"/>
    <col min="12796" max="12796" width="6.69921875" style="153" customWidth="1"/>
    <col min="12797" max="12797" width="8.3984375" style="153" customWidth="1"/>
    <col min="12798" max="12798" width="4.5" style="153" customWidth="1"/>
    <col min="12799" max="12799" width="8.19921875" style="153" customWidth="1"/>
    <col min="12800" max="12800" width="3.69921875" style="153" customWidth="1"/>
    <col min="12801" max="12801" width="7.69921875" style="153" customWidth="1"/>
    <col min="12802" max="12802" width="3.69921875" style="153" customWidth="1"/>
    <col min="12803" max="12803" width="7.69921875" style="153" customWidth="1"/>
    <col min="12804" max="12804" width="3.69921875" style="153" customWidth="1"/>
    <col min="12805" max="12805" width="7.69921875" style="153" customWidth="1"/>
    <col min="12806" max="12806" width="3.69921875" style="153" customWidth="1"/>
    <col min="12807" max="12807" width="6.19921875" style="153" customWidth="1"/>
    <col min="12808" max="12808" width="9" style="153"/>
    <col min="12809" max="12809" width="12.59765625" style="153" customWidth="1"/>
    <col min="12810" max="12810" width="19.09765625" style="153" customWidth="1"/>
    <col min="12811" max="12811" width="4.69921875" style="153" customWidth="1"/>
    <col min="12812" max="12812" width="9.8984375" style="153" customWidth="1"/>
    <col min="12813" max="12813" width="11.3984375" style="153" customWidth="1"/>
    <col min="12814" max="12814" width="5.8984375" style="153" customWidth="1"/>
    <col min="12815" max="12816" width="9" style="153"/>
    <col min="12817" max="12817" width="6.09765625" style="153" customWidth="1"/>
    <col min="12818" max="12818" width="19.5" style="153" customWidth="1"/>
    <col min="12819" max="13049" width="9" style="153"/>
    <col min="13050" max="13050" width="6.8984375" style="153" customWidth="1"/>
    <col min="13051" max="13051" width="7.5" style="153" customWidth="1"/>
    <col min="13052" max="13052" width="6.69921875" style="153" customWidth="1"/>
    <col min="13053" max="13053" width="8.3984375" style="153" customWidth="1"/>
    <col min="13054" max="13054" width="4.5" style="153" customWidth="1"/>
    <col min="13055" max="13055" width="8.19921875" style="153" customWidth="1"/>
    <col min="13056" max="13056" width="3.69921875" style="153" customWidth="1"/>
    <col min="13057" max="13057" width="7.69921875" style="153" customWidth="1"/>
    <col min="13058" max="13058" width="3.69921875" style="153" customWidth="1"/>
    <col min="13059" max="13059" width="7.69921875" style="153" customWidth="1"/>
    <col min="13060" max="13060" width="3.69921875" style="153" customWidth="1"/>
    <col min="13061" max="13061" width="7.69921875" style="153" customWidth="1"/>
    <col min="13062" max="13062" width="3.69921875" style="153" customWidth="1"/>
    <col min="13063" max="13063" width="6.19921875" style="153" customWidth="1"/>
    <col min="13064" max="13064" width="9" style="153"/>
    <col min="13065" max="13065" width="12.59765625" style="153" customWidth="1"/>
    <col min="13066" max="13066" width="19.09765625" style="153" customWidth="1"/>
    <col min="13067" max="13067" width="4.69921875" style="153" customWidth="1"/>
    <col min="13068" max="13068" width="9.8984375" style="153" customWidth="1"/>
    <col min="13069" max="13069" width="11.3984375" style="153" customWidth="1"/>
    <col min="13070" max="13070" width="5.8984375" style="153" customWidth="1"/>
    <col min="13071" max="13072" width="9" style="153"/>
    <col min="13073" max="13073" width="6.09765625" style="153" customWidth="1"/>
    <col min="13074" max="13074" width="19.5" style="153" customWidth="1"/>
    <col min="13075" max="13305" width="9" style="153"/>
    <col min="13306" max="13306" width="6.8984375" style="153" customWidth="1"/>
    <col min="13307" max="13307" width="7.5" style="153" customWidth="1"/>
    <col min="13308" max="13308" width="6.69921875" style="153" customWidth="1"/>
    <col min="13309" max="13309" width="8.3984375" style="153" customWidth="1"/>
    <col min="13310" max="13310" width="4.5" style="153" customWidth="1"/>
    <col min="13311" max="13311" width="8.19921875" style="153" customWidth="1"/>
    <col min="13312" max="13312" width="3.69921875" style="153" customWidth="1"/>
    <col min="13313" max="13313" width="7.69921875" style="153" customWidth="1"/>
    <col min="13314" max="13314" width="3.69921875" style="153" customWidth="1"/>
    <col min="13315" max="13315" width="7.69921875" style="153" customWidth="1"/>
    <col min="13316" max="13316" width="3.69921875" style="153" customWidth="1"/>
    <col min="13317" max="13317" width="7.69921875" style="153" customWidth="1"/>
    <col min="13318" max="13318" width="3.69921875" style="153" customWidth="1"/>
    <col min="13319" max="13319" width="6.19921875" style="153" customWidth="1"/>
    <col min="13320" max="13320" width="9" style="153"/>
    <col min="13321" max="13321" width="12.59765625" style="153" customWidth="1"/>
    <col min="13322" max="13322" width="19.09765625" style="153" customWidth="1"/>
    <col min="13323" max="13323" width="4.69921875" style="153" customWidth="1"/>
    <col min="13324" max="13324" width="9.8984375" style="153" customWidth="1"/>
    <col min="13325" max="13325" width="11.3984375" style="153" customWidth="1"/>
    <col min="13326" max="13326" width="5.8984375" style="153" customWidth="1"/>
    <col min="13327" max="13328" width="9" style="153"/>
    <col min="13329" max="13329" width="6.09765625" style="153" customWidth="1"/>
    <col min="13330" max="13330" width="19.5" style="153" customWidth="1"/>
    <col min="13331" max="13561" width="9" style="153"/>
    <col min="13562" max="13562" width="6.8984375" style="153" customWidth="1"/>
    <col min="13563" max="13563" width="7.5" style="153" customWidth="1"/>
    <col min="13564" max="13564" width="6.69921875" style="153" customWidth="1"/>
    <col min="13565" max="13565" width="8.3984375" style="153" customWidth="1"/>
    <col min="13566" max="13566" width="4.5" style="153" customWidth="1"/>
    <col min="13567" max="13567" width="8.19921875" style="153" customWidth="1"/>
    <col min="13568" max="13568" width="3.69921875" style="153" customWidth="1"/>
    <col min="13569" max="13569" width="7.69921875" style="153" customWidth="1"/>
    <col min="13570" max="13570" width="3.69921875" style="153" customWidth="1"/>
    <col min="13571" max="13571" width="7.69921875" style="153" customWidth="1"/>
    <col min="13572" max="13572" width="3.69921875" style="153" customWidth="1"/>
    <col min="13573" max="13573" width="7.69921875" style="153" customWidth="1"/>
    <col min="13574" max="13574" width="3.69921875" style="153" customWidth="1"/>
    <col min="13575" max="13575" width="6.19921875" style="153" customWidth="1"/>
    <col min="13576" max="13576" width="9" style="153"/>
    <col min="13577" max="13577" width="12.59765625" style="153" customWidth="1"/>
    <col min="13578" max="13578" width="19.09765625" style="153" customWidth="1"/>
    <col min="13579" max="13579" width="4.69921875" style="153" customWidth="1"/>
    <col min="13580" max="13580" width="9.8984375" style="153" customWidth="1"/>
    <col min="13581" max="13581" width="11.3984375" style="153" customWidth="1"/>
    <col min="13582" max="13582" width="5.8984375" style="153" customWidth="1"/>
    <col min="13583" max="13584" width="9" style="153"/>
    <col min="13585" max="13585" width="6.09765625" style="153" customWidth="1"/>
    <col min="13586" max="13586" width="19.5" style="153" customWidth="1"/>
    <col min="13587" max="13817" width="9" style="153"/>
    <col min="13818" max="13818" width="6.8984375" style="153" customWidth="1"/>
    <col min="13819" max="13819" width="7.5" style="153" customWidth="1"/>
    <col min="13820" max="13820" width="6.69921875" style="153" customWidth="1"/>
    <col min="13821" max="13821" width="8.3984375" style="153" customWidth="1"/>
    <col min="13822" max="13822" width="4.5" style="153" customWidth="1"/>
    <col min="13823" max="13823" width="8.19921875" style="153" customWidth="1"/>
    <col min="13824" max="13824" width="3.69921875" style="153" customWidth="1"/>
    <col min="13825" max="13825" width="7.69921875" style="153" customWidth="1"/>
    <col min="13826" max="13826" width="3.69921875" style="153" customWidth="1"/>
    <col min="13827" max="13827" width="7.69921875" style="153" customWidth="1"/>
    <col min="13828" max="13828" width="3.69921875" style="153" customWidth="1"/>
    <col min="13829" max="13829" width="7.69921875" style="153" customWidth="1"/>
    <col min="13830" max="13830" width="3.69921875" style="153" customWidth="1"/>
    <col min="13831" max="13831" width="6.19921875" style="153" customWidth="1"/>
    <col min="13832" max="13832" width="9" style="153"/>
    <col min="13833" max="13833" width="12.59765625" style="153" customWidth="1"/>
    <col min="13834" max="13834" width="19.09765625" style="153" customWidth="1"/>
    <col min="13835" max="13835" width="4.69921875" style="153" customWidth="1"/>
    <col min="13836" max="13836" width="9.8984375" style="153" customWidth="1"/>
    <col min="13837" max="13837" width="11.3984375" style="153" customWidth="1"/>
    <col min="13838" max="13838" width="5.8984375" style="153" customWidth="1"/>
    <col min="13839" max="13840" width="9" style="153"/>
    <col min="13841" max="13841" width="6.09765625" style="153" customWidth="1"/>
    <col min="13842" max="13842" width="19.5" style="153" customWidth="1"/>
    <col min="13843" max="14073" width="9" style="153"/>
    <col min="14074" max="14074" width="6.8984375" style="153" customWidth="1"/>
    <col min="14075" max="14075" width="7.5" style="153" customWidth="1"/>
    <col min="14076" max="14076" width="6.69921875" style="153" customWidth="1"/>
    <col min="14077" max="14077" width="8.3984375" style="153" customWidth="1"/>
    <col min="14078" max="14078" width="4.5" style="153" customWidth="1"/>
    <col min="14079" max="14079" width="8.19921875" style="153" customWidth="1"/>
    <col min="14080" max="14080" width="3.69921875" style="153" customWidth="1"/>
    <col min="14081" max="14081" width="7.69921875" style="153" customWidth="1"/>
    <col min="14082" max="14082" width="3.69921875" style="153" customWidth="1"/>
    <col min="14083" max="14083" width="7.69921875" style="153" customWidth="1"/>
    <col min="14084" max="14084" width="3.69921875" style="153" customWidth="1"/>
    <col min="14085" max="14085" width="7.69921875" style="153" customWidth="1"/>
    <col min="14086" max="14086" width="3.69921875" style="153" customWidth="1"/>
    <col min="14087" max="14087" width="6.19921875" style="153" customWidth="1"/>
    <col min="14088" max="14088" width="9" style="153"/>
    <col min="14089" max="14089" width="12.59765625" style="153" customWidth="1"/>
    <col min="14090" max="14090" width="19.09765625" style="153" customWidth="1"/>
    <col min="14091" max="14091" width="4.69921875" style="153" customWidth="1"/>
    <col min="14092" max="14092" width="9.8984375" style="153" customWidth="1"/>
    <col min="14093" max="14093" width="11.3984375" style="153" customWidth="1"/>
    <col min="14094" max="14094" width="5.8984375" style="153" customWidth="1"/>
    <col min="14095" max="14096" width="9" style="153"/>
    <col min="14097" max="14097" width="6.09765625" style="153" customWidth="1"/>
    <col min="14098" max="14098" width="19.5" style="153" customWidth="1"/>
    <col min="14099" max="14329" width="9" style="153"/>
    <col min="14330" max="14330" width="6.8984375" style="153" customWidth="1"/>
    <col min="14331" max="14331" width="7.5" style="153" customWidth="1"/>
    <col min="14332" max="14332" width="6.69921875" style="153" customWidth="1"/>
    <col min="14333" max="14333" width="8.3984375" style="153" customWidth="1"/>
    <col min="14334" max="14334" width="4.5" style="153" customWidth="1"/>
    <col min="14335" max="14335" width="8.19921875" style="153" customWidth="1"/>
    <col min="14336" max="14336" width="3.69921875" style="153" customWidth="1"/>
    <col min="14337" max="14337" width="7.69921875" style="153" customWidth="1"/>
    <col min="14338" max="14338" width="3.69921875" style="153" customWidth="1"/>
    <col min="14339" max="14339" width="7.69921875" style="153" customWidth="1"/>
    <col min="14340" max="14340" width="3.69921875" style="153" customWidth="1"/>
    <col min="14341" max="14341" width="7.69921875" style="153" customWidth="1"/>
    <col min="14342" max="14342" width="3.69921875" style="153" customWidth="1"/>
    <col min="14343" max="14343" width="6.19921875" style="153" customWidth="1"/>
    <col min="14344" max="14344" width="9" style="153"/>
    <col min="14345" max="14345" width="12.59765625" style="153" customWidth="1"/>
    <col min="14346" max="14346" width="19.09765625" style="153" customWidth="1"/>
    <col min="14347" max="14347" width="4.69921875" style="153" customWidth="1"/>
    <col min="14348" max="14348" width="9.8984375" style="153" customWidth="1"/>
    <col min="14349" max="14349" width="11.3984375" style="153" customWidth="1"/>
    <col min="14350" max="14350" width="5.8984375" style="153" customWidth="1"/>
    <col min="14351" max="14352" width="9" style="153"/>
    <col min="14353" max="14353" width="6.09765625" style="153" customWidth="1"/>
    <col min="14354" max="14354" width="19.5" style="153" customWidth="1"/>
    <col min="14355" max="14585" width="9" style="153"/>
    <col min="14586" max="14586" width="6.8984375" style="153" customWidth="1"/>
    <col min="14587" max="14587" width="7.5" style="153" customWidth="1"/>
    <col min="14588" max="14588" width="6.69921875" style="153" customWidth="1"/>
    <col min="14589" max="14589" width="8.3984375" style="153" customWidth="1"/>
    <col min="14590" max="14590" width="4.5" style="153" customWidth="1"/>
    <col min="14591" max="14591" width="8.19921875" style="153" customWidth="1"/>
    <col min="14592" max="14592" width="3.69921875" style="153" customWidth="1"/>
    <col min="14593" max="14593" width="7.69921875" style="153" customWidth="1"/>
    <col min="14594" max="14594" width="3.69921875" style="153" customWidth="1"/>
    <col min="14595" max="14595" width="7.69921875" style="153" customWidth="1"/>
    <col min="14596" max="14596" width="3.69921875" style="153" customWidth="1"/>
    <col min="14597" max="14597" width="7.69921875" style="153" customWidth="1"/>
    <col min="14598" max="14598" width="3.69921875" style="153" customWidth="1"/>
    <col min="14599" max="14599" width="6.19921875" style="153" customWidth="1"/>
    <col min="14600" max="14600" width="9" style="153"/>
    <col min="14601" max="14601" width="12.59765625" style="153" customWidth="1"/>
    <col min="14602" max="14602" width="19.09765625" style="153" customWidth="1"/>
    <col min="14603" max="14603" width="4.69921875" style="153" customWidth="1"/>
    <col min="14604" max="14604" width="9.8984375" style="153" customWidth="1"/>
    <col min="14605" max="14605" width="11.3984375" style="153" customWidth="1"/>
    <col min="14606" max="14606" width="5.8984375" style="153" customWidth="1"/>
    <col min="14607" max="14608" width="9" style="153"/>
    <col min="14609" max="14609" width="6.09765625" style="153" customWidth="1"/>
    <col min="14610" max="14610" width="19.5" style="153" customWidth="1"/>
    <col min="14611" max="14841" width="9" style="153"/>
    <col min="14842" max="14842" width="6.8984375" style="153" customWidth="1"/>
    <col min="14843" max="14843" width="7.5" style="153" customWidth="1"/>
    <col min="14844" max="14844" width="6.69921875" style="153" customWidth="1"/>
    <col min="14845" max="14845" width="8.3984375" style="153" customWidth="1"/>
    <col min="14846" max="14846" width="4.5" style="153" customWidth="1"/>
    <col min="14847" max="14847" width="8.19921875" style="153" customWidth="1"/>
    <col min="14848" max="14848" width="3.69921875" style="153" customWidth="1"/>
    <col min="14849" max="14849" width="7.69921875" style="153" customWidth="1"/>
    <col min="14850" max="14850" width="3.69921875" style="153" customWidth="1"/>
    <col min="14851" max="14851" width="7.69921875" style="153" customWidth="1"/>
    <col min="14852" max="14852" width="3.69921875" style="153" customWidth="1"/>
    <col min="14853" max="14853" width="7.69921875" style="153" customWidth="1"/>
    <col min="14854" max="14854" width="3.69921875" style="153" customWidth="1"/>
    <col min="14855" max="14855" width="6.19921875" style="153" customWidth="1"/>
    <col min="14856" max="14856" width="9" style="153"/>
    <col min="14857" max="14857" width="12.59765625" style="153" customWidth="1"/>
    <col min="14858" max="14858" width="19.09765625" style="153" customWidth="1"/>
    <col min="14859" max="14859" width="4.69921875" style="153" customWidth="1"/>
    <col min="14860" max="14860" width="9.8984375" style="153" customWidth="1"/>
    <col min="14861" max="14861" width="11.3984375" style="153" customWidth="1"/>
    <col min="14862" max="14862" width="5.8984375" style="153" customWidth="1"/>
    <col min="14863" max="14864" width="9" style="153"/>
    <col min="14865" max="14865" width="6.09765625" style="153" customWidth="1"/>
    <col min="14866" max="14866" width="19.5" style="153" customWidth="1"/>
    <col min="14867" max="15097" width="9" style="153"/>
    <col min="15098" max="15098" width="6.8984375" style="153" customWidth="1"/>
    <col min="15099" max="15099" width="7.5" style="153" customWidth="1"/>
    <col min="15100" max="15100" width="6.69921875" style="153" customWidth="1"/>
    <col min="15101" max="15101" width="8.3984375" style="153" customWidth="1"/>
    <col min="15102" max="15102" width="4.5" style="153" customWidth="1"/>
    <col min="15103" max="15103" width="8.19921875" style="153" customWidth="1"/>
    <col min="15104" max="15104" width="3.69921875" style="153" customWidth="1"/>
    <col min="15105" max="15105" width="7.69921875" style="153" customWidth="1"/>
    <col min="15106" max="15106" width="3.69921875" style="153" customWidth="1"/>
    <col min="15107" max="15107" width="7.69921875" style="153" customWidth="1"/>
    <col min="15108" max="15108" width="3.69921875" style="153" customWidth="1"/>
    <col min="15109" max="15109" width="7.69921875" style="153" customWidth="1"/>
    <col min="15110" max="15110" width="3.69921875" style="153" customWidth="1"/>
    <col min="15111" max="15111" width="6.19921875" style="153" customWidth="1"/>
    <col min="15112" max="15112" width="9" style="153"/>
    <col min="15113" max="15113" width="12.59765625" style="153" customWidth="1"/>
    <col min="15114" max="15114" width="19.09765625" style="153" customWidth="1"/>
    <col min="15115" max="15115" width="4.69921875" style="153" customWidth="1"/>
    <col min="15116" max="15116" width="9.8984375" style="153" customWidth="1"/>
    <col min="15117" max="15117" width="11.3984375" style="153" customWidth="1"/>
    <col min="15118" max="15118" width="5.8984375" style="153" customWidth="1"/>
    <col min="15119" max="15120" width="9" style="153"/>
    <col min="15121" max="15121" width="6.09765625" style="153" customWidth="1"/>
    <col min="15122" max="15122" width="19.5" style="153" customWidth="1"/>
    <col min="15123" max="15353" width="9" style="153"/>
    <col min="15354" max="15354" width="6.8984375" style="153" customWidth="1"/>
    <col min="15355" max="15355" width="7.5" style="153" customWidth="1"/>
    <col min="15356" max="15356" width="6.69921875" style="153" customWidth="1"/>
    <col min="15357" max="15357" width="8.3984375" style="153" customWidth="1"/>
    <col min="15358" max="15358" width="4.5" style="153" customWidth="1"/>
    <col min="15359" max="15359" width="8.19921875" style="153" customWidth="1"/>
    <col min="15360" max="15360" width="3.69921875" style="153" customWidth="1"/>
    <col min="15361" max="15361" width="7.69921875" style="153" customWidth="1"/>
    <col min="15362" max="15362" width="3.69921875" style="153" customWidth="1"/>
    <col min="15363" max="15363" width="7.69921875" style="153" customWidth="1"/>
    <col min="15364" max="15364" width="3.69921875" style="153" customWidth="1"/>
    <col min="15365" max="15365" width="7.69921875" style="153" customWidth="1"/>
    <col min="15366" max="15366" width="3.69921875" style="153" customWidth="1"/>
    <col min="15367" max="15367" width="6.19921875" style="153" customWidth="1"/>
    <col min="15368" max="15368" width="9" style="153"/>
    <col min="15369" max="15369" width="12.59765625" style="153" customWidth="1"/>
    <col min="15370" max="15370" width="19.09765625" style="153" customWidth="1"/>
    <col min="15371" max="15371" width="4.69921875" style="153" customWidth="1"/>
    <col min="15372" max="15372" width="9.8984375" style="153" customWidth="1"/>
    <col min="15373" max="15373" width="11.3984375" style="153" customWidth="1"/>
    <col min="15374" max="15374" width="5.8984375" style="153" customWidth="1"/>
    <col min="15375" max="15376" width="9" style="153"/>
    <col min="15377" max="15377" width="6.09765625" style="153" customWidth="1"/>
    <col min="15378" max="15378" width="19.5" style="153" customWidth="1"/>
    <col min="15379" max="15609" width="9" style="153"/>
    <col min="15610" max="15610" width="6.8984375" style="153" customWidth="1"/>
    <col min="15611" max="15611" width="7.5" style="153" customWidth="1"/>
    <col min="15612" max="15612" width="6.69921875" style="153" customWidth="1"/>
    <col min="15613" max="15613" width="8.3984375" style="153" customWidth="1"/>
    <col min="15614" max="15614" width="4.5" style="153" customWidth="1"/>
    <col min="15615" max="15615" width="8.19921875" style="153" customWidth="1"/>
    <col min="15616" max="15616" width="3.69921875" style="153" customWidth="1"/>
    <col min="15617" max="15617" width="7.69921875" style="153" customWidth="1"/>
    <col min="15618" max="15618" width="3.69921875" style="153" customWidth="1"/>
    <col min="15619" max="15619" width="7.69921875" style="153" customWidth="1"/>
    <col min="15620" max="15620" width="3.69921875" style="153" customWidth="1"/>
    <col min="15621" max="15621" width="7.69921875" style="153" customWidth="1"/>
    <col min="15622" max="15622" width="3.69921875" style="153" customWidth="1"/>
    <col min="15623" max="15623" width="6.19921875" style="153" customWidth="1"/>
    <col min="15624" max="15624" width="9" style="153"/>
    <col min="15625" max="15625" width="12.59765625" style="153" customWidth="1"/>
    <col min="15626" max="15626" width="19.09765625" style="153" customWidth="1"/>
    <col min="15627" max="15627" width="4.69921875" style="153" customWidth="1"/>
    <col min="15628" max="15628" width="9.8984375" style="153" customWidth="1"/>
    <col min="15629" max="15629" width="11.3984375" style="153" customWidth="1"/>
    <col min="15630" max="15630" width="5.8984375" style="153" customWidth="1"/>
    <col min="15631" max="15632" width="9" style="153"/>
    <col min="15633" max="15633" width="6.09765625" style="153" customWidth="1"/>
    <col min="15634" max="15634" width="19.5" style="153" customWidth="1"/>
    <col min="15635" max="15865" width="9" style="153"/>
    <col min="15866" max="15866" width="6.8984375" style="153" customWidth="1"/>
    <col min="15867" max="15867" width="7.5" style="153" customWidth="1"/>
    <col min="15868" max="15868" width="6.69921875" style="153" customWidth="1"/>
    <col min="15869" max="15869" width="8.3984375" style="153" customWidth="1"/>
    <col min="15870" max="15870" width="4.5" style="153" customWidth="1"/>
    <col min="15871" max="15871" width="8.19921875" style="153" customWidth="1"/>
    <col min="15872" max="15872" width="3.69921875" style="153" customWidth="1"/>
    <col min="15873" max="15873" width="7.69921875" style="153" customWidth="1"/>
    <col min="15874" max="15874" width="3.69921875" style="153" customWidth="1"/>
    <col min="15875" max="15875" width="7.69921875" style="153" customWidth="1"/>
    <col min="15876" max="15876" width="3.69921875" style="153" customWidth="1"/>
    <col min="15877" max="15877" width="7.69921875" style="153" customWidth="1"/>
    <col min="15878" max="15878" width="3.69921875" style="153" customWidth="1"/>
    <col min="15879" max="15879" width="6.19921875" style="153" customWidth="1"/>
    <col min="15880" max="15880" width="9" style="153"/>
    <col min="15881" max="15881" width="12.59765625" style="153" customWidth="1"/>
    <col min="15882" max="15882" width="19.09765625" style="153" customWidth="1"/>
    <col min="15883" max="15883" width="4.69921875" style="153" customWidth="1"/>
    <col min="15884" max="15884" width="9.8984375" style="153" customWidth="1"/>
    <col min="15885" max="15885" width="11.3984375" style="153" customWidth="1"/>
    <col min="15886" max="15886" width="5.8984375" style="153" customWidth="1"/>
    <col min="15887" max="15888" width="9" style="153"/>
    <col min="15889" max="15889" width="6.09765625" style="153" customWidth="1"/>
    <col min="15890" max="15890" width="19.5" style="153" customWidth="1"/>
    <col min="15891" max="16121" width="9" style="153"/>
    <col min="16122" max="16122" width="6.8984375" style="153" customWidth="1"/>
    <col min="16123" max="16123" width="7.5" style="153" customWidth="1"/>
    <col min="16124" max="16124" width="6.69921875" style="153" customWidth="1"/>
    <col min="16125" max="16125" width="8.3984375" style="153" customWidth="1"/>
    <col min="16126" max="16126" width="4.5" style="153" customWidth="1"/>
    <col min="16127" max="16127" width="8.19921875" style="153" customWidth="1"/>
    <col min="16128" max="16128" width="3.69921875" style="153" customWidth="1"/>
    <col min="16129" max="16129" width="7.69921875" style="153" customWidth="1"/>
    <col min="16130" max="16130" width="3.69921875" style="153" customWidth="1"/>
    <col min="16131" max="16131" width="7.69921875" style="153" customWidth="1"/>
    <col min="16132" max="16132" width="3.69921875" style="153" customWidth="1"/>
    <col min="16133" max="16133" width="7.69921875" style="153" customWidth="1"/>
    <col min="16134" max="16134" width="3.69921875" style="153" customWidth="1"/>
    <col min="16135" max="16135" width="6.19921875" style="153" customWidth="1"/>
    <col min="16136" max="16136" width="9" style="153"/>
    <col min="16137" max="16137" width="12.59765625" style="153" customWidth="1"/>
    <col min="16138" max="16138" width="19.09765625" style="153" customWidth="1"/>
    <col min="16139" max="16139" width="4.69921875" style="153" customWidth="1"/>
    <col min="16140" max="16140" width="9.8984375" style="153" customWidth="1"/>
    <col min="16141" max="16141" width="11.3984375" style="153" customWidth="1"/>
    <col min="16142" max="16142" width="5.8984375" style="153" customWidth="1"/>
    <col min="16143" max="16144" width="9" style="153"/>
    <col min="16145" max="16145" width="6.09765625" style="153" customWidth="1"/>
    <col min="16146" max="16146" width="19.5" style="153" customWidth="1"/>
    <col min="16147" max="16384" width="9" style="153"/>
  </cols>
  <sheetData>
    <row r="1" spans="1:13" ht="15" customHeight="1" thickBot="1" x14ac:dyDescent="0.5">
      <c r="A1" s="148" t="s">
        <v>21</v>
      </c>
      <c r="B1" s="196">
        <v>6</v>
      </c>
      <c r="C1" s="149" t="s">
        <v>0</v>
      </c>
      <c r="D1" s="150"/>
      <c r="E1" s="151"/>
      <c r="F1" s="151"/>
      <c r="G1" s="151"/>
      <c r="H1" s="152" t="str">
        <f>"←ここは"&amp;作業・変換!C53&amp;"～"&amp;作業・変換!G53&amp;"（年度）のみ入力可です。"</f>
        <v>←ここは2～6（年度）のみ入力可です。</v>
      </c>
    </row>
    <row r="2" spans="1:13" ht="15" customHeight="1" thickBot="1" x14ac:dyDescent="0.5">
      <c r="A2" s="303" t="s">
        <v>132</v>
      </c>
      <c r="B2" s="304"/>
      <c r="C2" s="305"/>
      <c r="D2" s="21" t="s">
        <v>73</v>
      </c>
      <c r="E2" s="227" t="s">
        <v>177</v>
      </c>
      <c r="I2" s="241"/>
      <c r="J2" s="241"/>
      <c r="K2" s="241"/>
    </row>
    <row r="3" spans="1:13" ht="15" customHeight="1" thickTop="1" thickBot="1" x14ac:dyDescent="0.5">
      <c r="A3" s="308" t="s">
        <v>1</v>
      </c>
      <c r="B3" s="309"/>
      <c r="C3" s="154">
        <f>COUNT(C7:G7)-IF(AND(D2="しない",COUNT(C7:G7)&gt;0),1,0)</f>
        <v>0</v>
      </c>
      <c r="D3" s="274" t="str">
        <f>"人"&amp;IF(D2="しない","＋擬制（加入しない）世帯主"&amp;TEXT(COUNT(C7),"0")&amp;"人","")</f>
        <v>人</v>
      </c>
      <c r="E3" s="275"/>
      <c r="F3" s="275"/>
      <c r="G3" s="275"/>
      <c r="I3" s="279" t="s">
        <v>58</v>
      </c>
      <c r="J3" s="280"/>
      <c r="K3" s="281"/>
    </row>
    <row r="4" spans="1:13" ht="15" customHeight="1" thickTop="1" thickBot="1" x14ac:dyDescent="0.5">
      <c r="A4" s="310" t="s">
        <v>18</v>
      </c>
      <c r="B4" s="311"/>
      <c r="C4" s="155">
        <f>DATE(B1+2018,4,1)</f>
        <v>45383</v>
      </c>
      <c r="D4" s="155" t="str">
        <f>IF(COUNTA(D7)=1,$C4,"")</f>
        <v/>
      </c>
      <c r="E4" s="155" t="str">
        <f t="shared" ref="E4:G4" si="0">IF(COUNTA(E7)=1,$C4,"")</f>
        <v/>
      </c>
      <c r="F4" s="155" t="str">
        <f t="shared" si="0"/>
        <v/>
      </c>
      <c r="G4" s="155" t="str">
        <f t="shared" si="0"/>
        <v/>
      </c>
      <c r="H4" s="156"/>
      <c r="I4" s="282" t="s">
        <v>59</v>
      </c>
      <c r="J4" s="283"/>
      <c r="K4" s="284"/>
    </row>
    <row r="5" spans="1:13" ht="15" customHeight="1" thickTop="1" thickBot="1" x14ac:dyDescent="0.5">
      <c r="A5" s="285" t="s">
        <v>19</v>
      </c>
      <c r="B5" s="286"/>
      <c r="C5" s="157" t="str">
        <f>IF(C7="","",MAX(ROUNDDOWN(YEARFRAC(C7,C4,1),0),0))</f>
        <v/>
      </c>
      <c r="D5" s="157" t="str">
        <f t="shared" ref="D5:G5" si="1">IF(D7="","",MAX(ROUNDDOWN(YEARFRAC(D7,D4,1),0),0))</f>
        <v/>
      </c>
      <c r="E5" s="157" t="str">
        <f t="shared" si="1"/>
        <v/>
      </c>
      <c r="F5" s="157" t="str">
        <f t="shared" si="1"/>
        <v/>
      </c>
      <c r="G5" s="158" t="str">
        <f t="shared" si="1"/>
        <v/>
      </c>
      <c r="H5" s="156"/>
      <c r="I5" s="276" t="s">
        <v>60</v>
      </c>
      <c r="J5" s="277"/>
      <c r="K5" s="278"/>
      <c r="L5" s="159"/>
      <c r="M5" s="159"/>
    </row>
    <row r="6" spans="1:13" ht="15" customHeight="1" thickTop="1" thickBot="1" x14ac:dyDescent="0.5">
      <c r="A6" s="285" t="s">
        <v>163</v>
      </c>
      <c r="B6" s="286"/>
      <c r="C6" s="160" t="str">
        <f>IF(D2="しない","擬制世帯主Ａ","世帯主Ａ")</f>
        <v>世帯主Ａ</v>
      </c>
      <c r="D6" s="161" t="str">
        <f>IF(COUNTA(D7)=1,"加入者B","")</f>
        <v/>
      </c>
      <c r="E6" s="161" t="str">
        <f>IF(COUNTA(E7)=1,"加入者C","")</f>
        <v/>
      </c>
      <c r="F6" s="161" t="str">
        <f>IF(COUNTA(F7)=1,"加入者D","")</f>
        <v/>
      </c>
      <c r="G6" s="162" t="str">
        <f>IF(COUNTA(G7)=1,"加入者E","")</f>
        <v/>
      </c>
      <c r="I6" s="298" t="s">
        <v>175</v>
      </c>
      <c r="J6" s="299"/>
      <c r="K6" s="300"/>
      <c r="L6" s="159"/>
      <c r="M6" s="159"/>
    </row>
    <row r="7" spans="1:13" ht="15" customHeight="1" thickTop="1" x14ac:dyDescent="0.45">
      <c r="A7" s="285" t="s">
        <v>2</v>
      </c>
      <c r="B7" s="286"/>
      <c r="C7" s="197"/>
      <c r="D7" s="197"/>
      <c r="E7" s="197"/>
      <c r="F7" s="197"/>
      <c r="G7" s="197"/>
      <c r="H7" s="294" t="s">
        <v>70</v>
      </c>
      <c r="I7" s="295"/>
      <c r="J7" s="295"/>
      <c r="K7" s="295"/>
      <c r="L7" s="295"/>
    </row>
    <row r="8" spans="1:13" ht="15" customHeight="1" thickBot="1" x14ac:dyDescent="0.5">
      <c r="A8" s="287" t="s">
        <v>35</v>
      </c>
      <c r="B8" s="288"/>
      <c r="C8" s="242"/>
      <c r="D8" s="242"/>
      <c r="E8" s="242"/>
      <c r="F8" s="242"/>
      <c r="G8" s="243"/>
      <c r="H8" s="296" t="s">
        <v>165</v>
      </c>
      <c r="I8" s="295"/>
      <c r="J8" s="295"/>
      <c r="K8" s="295"/>
      <c r="L8" s="295"/>
      <c r="M8" s="164"/>
    </row>
    <row r="9" spans="1:13" ht="15" customHeight="1" x14ac:dyDescent="0.45">
      <c r="A9" s="289" t="s">
        <v>168</v>
      </c>
      <c r="B9" s="290"/>
      <c r="C9" s="198"/>
      <c r="D9" s="198"/>
      <c r="E9" s="198"/>
      <c r="F9" s="198"/>
      <c r="G9" s="199"/>
      <c r="H9" s="165"/>
      <c r="I9" s="301" t="s">
        <v>174</v>
      </c>
      <c r="J9" s="295"/>
      <c r="K9" s="295"/>
      <c r="L9" s="295"/>
    </row>
    <row r="10" spans="1:13" ht="15" customHeight="1" x14ac:dyDescent="0.45">
      <c r="A10" s="316" t="s">
        <v>169</v>
      </c>
      <c r="B10" s="317"/>
      <c r="C10" s="146">
        <f>IF(COUNT(C11)=1,"↓",VLOOKUP(C9,作業・変換!$C$3:$E$16,HLOOKUP($B$1,作業・変換!$C$53:$G$68,16)+1,TRUE))</f>
        <v>0</v>
      </c>
      <c r="D10" s="146">
        <f>IF(COUNT(D11)=1,"↓",VLOOKUP(D9,作業・変換!$G$3:$I$16,HLOOKUP($B$1,作業・変換!$C$53:$G$68,16)+1,TRUE))</f>
        <v>0</v>
      </c>
      <c r="E10" s="146">
        <f>IF(COUNT(E11)=1,"↓",VLOOKUP(E9,作業・変換!$K$3:$M$16,HLOOKUP($B$1,作業・変換!$C$53:$G$68,16)+1,TRUE))</f>
        <v>0</v>
      </c>
      <c r="F10" s="146">
        <f>IF(COUNT(F11)=1,"↓",VLOOKUP(F9,作業・変換!$O$3:$Q$16,HLOOKUP($B$1,作業・変換!$C$53:$G$68,16)+1,TRUE))</f>
        <v>0</v>
      </c>
      <c r="G10" s="147">
        <f>IF(COUNT(G11)=1,"↓",VLOOKUP(G9,作業・変換!$S$3:$U$16,HLOOKUP($B$1,作業・変換!$C$53:$G$68,16)+1,TRUE))</f>
        <v>0</v>
      </c>
      <c r="H10" s="297" t="s">
        <v>166</v>
      </c>
      <c r="I10" s="295"/>
      <c r="J10" s="295"/>
      <c r="K10" s="295"/>
      <c r="L10" s="295"/>
    </row>
    <row r="11" spans="1:13" ht="15" customHeight="1" thickBot="1" x14ac:dyDescent="0.5">
      <c r="A11" s="318"/>
      <c r="B11" s="319"/>
      <c r="C11" s="200"/>
      <c r="D11" s="200"/>
      <c r="E11" s="200"/>
      <c r="F11" s="200"/>
      <c r="G11" s="201"/>
      <c r="H11" s="297" t="s">
        <v>180</v>
      </c>
      <c r="I11" s="295"/>
      <c r="J11" s="295"/>
      <c r="K11" s="295"/>
      <c r="L11" s="295"/>
    </row>
    <row r="12" spans="1:13" ht="18.75" hidden="1" customHeight="1" x14ac:dyDescent="0.45">
      <c r="A12" s="312" t="s">
        <v>37</v>
      </c>
      <c r="B12" s="313"/>
      <c r="C12" s="244">
        <f>IF(COUNT(C11)=1,C11,C10)</f>
        <v>0</v>
      </c>
      <c r="D12" s="244">
        <f t="shared" ref="D12:G12" si="2">IF(COUNT(D11)=1,D11,D10)</f>
        <v>0</v>
      </c>
      <c r="E12" s="244">
        <f t="shared" si="2"/>
        <v>0</v>
      </c>
      <c r="F12" s="244">
        <f t="shared" si="2"/>
        <v>0</v>
      </c>
      <c r="G12" s="245">
        <f t="shared" si="2"/>
        <v>0</v>
      </c>
      <c r="H12" s="163"/>
    </row>
    <row r="13" spans="1:13" ht="15" customHeight="1" x14ac:dyDescent="0.45">
      <c r="A13" s="289" t="s">
        <v>170</v>
      </c>
      <c r="B13" s="290"/>
      <c r="C13" s="248"/>
      <c r="D13" s="248"/>
      <c r="E13" s="248"/>
      <c r="F13" s="248"/>
      <c r="G13" s="249"/>
      <c r="H13" s="163"/>
    </row>
    <row r="14" spans="1:13" ht="15" customHeight="1" x14ac:dyDescent="0.45">
      <c r="A14" s="316" t="s">
        <v>171</v>
      </c>
      <c r="B14" s="317"/>
      <c r="C14" s="166">
        <f>IF(COUNT(C15)=1,"↓",IF(C7&lt;=作業・変換!$B$19,VLOOKUP(C13,作業・変換!$C$21:$E$26,HLOOKUP($B$1,作業・変換!$C$53:$G$68,16)+1,TRUE),VLOOKUP(C13,作業・変換!$C$30:$E$35,HLOOKUP($B$1,作業・変換!$C$53:$G$68,16)+1,TRUE)))</f>
        <v>0</v>
      </c>
      <c r="D14" s="166">
        <f>IF(COUNT(D15)=1,"↓",IF(D7&lt;=作業・変換!$B$19,VLOOKUP(D13,作業・変換!$G$21:$I$26,HLOOKUP($B$1,作業・変換!$C$53:$G$68,16)+1,TRUE),VLOOKUP(D13,作業・変換!$G$30:$I$35,HLOOKUP($B$1,作業・変換!$C$53:$G$68,16)+1,TRUE)))</f>
        <v>0</v>
      </c>
      <c r="E14" s="166">
        <f>IF(COUNT(E15)=1,"↓",IF(E7&lt;=作業・変換!$B$19,VLOOKUP(E13,作業・変換!$K$21:$M$26,HLOOKUP($B$1,作業・変換!$C$53:$G$68,16)+1,TRUE),VLOOKUP(E13,作業・変換!$K$30:$M$35,HLOOKUP($B$1,作業・変換!$C$53:$G$68,16)+1,TRUE)))</f>
        <v>0</v>
      </c>
      <c r="F14" s="166">
        <f>IF(COUNT(F15)=1,"↓",IF(F7&lt;=作業・変換!$B$19,VLOOKUP(F13,作業・変換!$O$21:$Q$26,HLOOKUP($B$1,作業・変換!$C$53:$G$68,16)+1,TRUE),VLOOKUP(F13,作業・変換!$O$30:$Q$35,HLOOKUP($B$1,作業・変換!$C$53:$G$68,16)+1,TRUE)))</f>
        <v>0</v>
      </c>
      <c r="G14" s="167">
        <f>IF(COUNT(G15)=1,"↓",IF(G7&lt;=作業・変換!$B$19,VLOOKUP(G13,作業・変換!$S$21:$U$26,HLOOKUP($B$1,作業・変換!$C$53:$G$68,16)+1,TRUE),VLOOKUP(G13,作業・変換!$S$30:$U$35,HLOOKUP($B$1,作業・変換!$C$53:$G$68,16)+1,TRUE)))</f>
        <v>0</v>
      </c>
      <c r="H14" s="297" t="s">
        <v>167</v>
      </c>
      <c r="I14" s="295"/>
      <c r="J14" s="295"/>
      <c r="K14" s="295"/>
      <c r="L14" s="295"/>
    </row>
    <row r="15" spans="1:13" ht="15" customHeight="1" thickBot="1" x14ac:dyDescent="0.5">
      <c r="A15" s="320"/>
      <c r="B15" s="321"/>
      <c r="C15" s="250"/>
      <c r="D15" s="250"/>
      <c r="E15" s="250"/>
      <c r="F15" s="250"/>
      <c r="G15" s="251"/>
      <c r="H15" s="297" t="s">
        <v>181</v>
      </c>
      <c r="I15" s="295"/>
      <c r="J15" s="295"/>
      <c r="K15" s="295"/>
      <c r="L15" s="295"/>
    </row>
    <row r="16" spans="1:13" ht="18.75" hidden="1" customHeight="1" x14ac:dyDescent="0.45">
      <c r="A16" s="314" t="s">
        <v>38</v>
      </c>
      <c r="B16" s="315"/>
      <c r="C16" s="246">
        <f>IF(COUNT(C15)=1,C15,C14)</f>
        <v>0</v>
      </c>
      <c r="D16" s="246">
        <f t="shared" ref="D16:G16" si="3">IF(COUNT(D15)=1,D15,D14)</f>
        <v>0</v>
      </c>
      <c r="E16" s="246">
        <f t="shared" si="3"/>
        <v>0</v>
      </c>
      <c r="F16" s="246">
        <f t="shared" si="3"/>
        <v>0</v>
      </c>
      <c r="G16" s="247">
        <f t="shared" si="3"/>
        <v>0</v>
      </c>
      <c r="H16" s="163"/>
    </row>
    <row r="17" spans="1:12" ht="15" customHeight="1" thickBot="1" x14ac:dyDescent="0.5">
      <c r="A17" s="316" t="s">
        <v>172</v>
      </c>
      <c r="B17" s="317"/>
      <c r="C17" s="252"/>
      <c r="D17" s="253"/>
      <c r="E17" s="253"/>
      <c r="F17" s="253"/>
      <c r="G17" s="254"/>
      <c r="H17" s="297" t="s">
        <v>164</v>
      </c>
      <c r="I17" s="295"/>
      <c r="J17" s="295"/>
      <c r="K17" s="295"/>
      <c r="L17" s="295"/>
    </row>
    <row r="18" spans="1:12" ht="15" customHeight="1" thickBot="1" x14ac:dyDescent="0.5">
      <c r="A18" s="326" t="s">
        <v>173</v>
      </c>
      <c r="B18" s="327"/>
      <c r="C18" s="255">
        <f>IF(AND(COUNT(C7)=1,C12+C16+C17&gt;0),C12+C16+C17,0)</f>
        <v>0</v>
      </c>
      <c r="D18" s="255">
        <f t="shared" ref="D18:G18" si="4">IF(AND(COUNT(D7)=1,D12+D16+D17&gt;0),D12+D16+D17,0)</f>
        <v>0</v>
      </c>
      <c r="E18" s="255">
        <f t="shared" si="4"/>
        <v>0</v>
      </c>
      <c r="F18" s="255">
        <f t="shared" si="4"/>
        <v>0</v>
      </c>
      <c r="G18" s="256">
        <f t="shared" si="4"/>
        <v>0</v>
      </c>
      <c r="H18" s="168"/>
      <c r="I18" s="169"/>
    </row>
    <row r="19" spans="1:12" ht="15" customHeight="1" x14ac:dyDescent="0.45">
      <c r="A19" s="324" t="s">
        <v>134</v>
      </c>
      <c r="B19" s="325"/>
      <c r="C19" s="170">
        <f>IF(C27=1,C12*0.7,0)</f>
        <v>0</v>
      </c>
      <c r="D19" s="170">
        <f>IF(D27=1,D12*0.7,0)</f>
        <v>0</v>
      </c>
      <c r="E19" s="170">
        <f>IF(E27=1,E12*0.7,0)</f>
        <v>0</v>
      </c>
      <c r="F19" s="170">
        <f>IF(F27=1,F12*0.7,0)</f>
        <v>0</v>
      </c>
      <c r="G19" s="170">
        <f>IF(G27=1,G12*0.7,0)</f>
        <v>0</v>
      </c>
      <c r="H19" s="168"/>
      <c r="I19" s="333" t="s">
        <v>63</v>
      </c>
      <c r="J19" s="334"/>
      <c r="K19" s="335"/>
    </row>
    <row r="20" spans="1:12" ht="15" customHeight="1" thickBot="1" x14ac:dyDescent="0.5">
      <c r="A20" s="257" t="s">
        <v>182</v>
      </c>
      <c r="B20" s="291" t="s">
        <v>184</v>
      </c>
      <c r="C20" s="170">
        <f>IF(AND(COUNT(C7)=1,C12&gt;0,C16&gt;0),MIN(100000,C12)+MIN(100000,C16)-100000,0)</f>
        <v>0</v>
      </c>
      <c r="D20" s="170">
        <f t="shared" ref="D20:G20" si="5">IF(AND(COUNT(D7)=1,D12&gt;0,D16&gt;0),MIN(100000,D12)+MIN(100000,D16)-100000,0)</f>
        <v>0</v>
      </c>
      <c r="E20" s="170">
        <f t="shared" si="5"/>
        <v>0</v>
      </c>
      <c r="F20" s="170">
        <f t="shared" si="5"/>
        <v>0</v>
      </c>
      <c r="G20" s="170">
        <f t="shared" si="5"/>
        <v>0</v>
      </c>
      <c r="H20" s="168"/>
      <c r="I20" s="292">
        <f>SUM(C30:G30)</f>
        <v>0</v>
      </c>
      <c r="J20" s="293"/>
      <c r="K20" s="171" t="s">
        <v>3</v>
      </c>
    </row>
    <row r="21" spans="1:12" ht="15" customHeight="1" x14ac:dyDescent="0.45">
      <c r="A21" s="240" t="s">
        <v>183</v>
      </c>
      <c r="B21" s="291"/>
      <c r="C21" s="170">
        <f>IF(AND(COUNT(C7)=1,C12&gt;0,C16-C25&gt;0),MIN(100000,C12)+MIN(100000,C16-C25)-100000,0)</f>
        <v>0</v>
      </c>
      <c r="D21" s="170">
        <f>IF(AND(COUNT(D7)=1,D12&gt;0,D16-D25&gt;0),MIN(100000,D12)+MIN(100000,D16-D25)-100000,0)</f>
        <v>0</v>
      </c>
      <c r="E21" s="170">
        <f>IF(AND(COUNT(E7)=1,E12&gt;0,E16-E25&gt;0),MIN(100000,E12)+MIN(100000,E16-E25)-100000,0)</f>
        <v>0</v>
      </c>
      <c r="F21" s="170">
        <f>IF(AND(COUNT(F7)=1,F12&gt;0,F16-F25&gt;0),MIN(100000,F12)+MIN(100000,F16-F25)-100000,0)</f>
        <v>0</v>
      </c>
      <c r="G21" s="170">
        <f>IF(AND(COUNT(G7)=1,G12&gt;0,G16-G25&gt;0),MIN(100000,G12)+MIN(100000,G16-G25)-100000,0)</f>
        <v>0</v>
      </c>
      <c r="H21" s="173"/>
      <c r="I21" s="328" t="s">
        <v>133</v>
      </c>
      <c r="J21" s="329"/>
      <c r="K21" s="330"/>
    </row>
    <row r="22" spans="1:12" ht="15" customHeight="1" x14ac:dyDescent="0.45">
      <c r="A22" s="239" t="s">
        <v>186</v>
      </c>
      <c r="B22" s="302" t="s">
        <v>188</v>
      </c>
      <c r="C22" s="172">
        <f>IF(C18-(C19+C20)&gt;0,C18-(C19+C20),0)</f>
        <v>0</v>
      </c>
      <c r="D22" s="172">
        <f>IF(D18-(D19+D20)&gt;0,D18-(D19+D20),0)</f>
        <v>0</v>
      </c>
      <c r="E22" s="172">
        <f>IF(E18-(E19+E20)&gt;0,E18-(E19+E20),0)</f>
        <v>0</v>
      </c>
      <c r="F22" s="172">
        <f>IF(F18-(F19+F20)&gt;0,F18-(F19+F20),0)</f>
        <v>0</v>
      </c>
      <c r="G22" s="172">
        <f>IF(G18-(G19+G20)&gt;0,G18-(G19+G20),0)</f>
        <v>0</v>
      </c>
      <c r="H22" s="168"/>
      <c r="I22" s="175" t="s">
        <v>4</v>
      </c>
      <c r="J22" s="176">
        <f>税額計算情報!G3+IF(SUM(C26:G26)&gt;0,100000*(SUM(C26:G26)-1),0)</f>
        <v>430000</v>
      </c>
      <c r="K22" s="177" t="s">
        <v>5</v>
      </c>
    </row>
    <row r="23" spans="1:12" ht="15" customHeight="1" x14ac:dyDescent="0.45">
      <c r="A23" s="239" t="s">
        <v>187</v>
      </c>
      <c r="B23" s="302"/>
      <c r="C23" s="172">
        <f>IF(C18-(C19+C21)&gt;0,C18-(C19+C21),0)</f>
        <v>0</v>
      </c>
      <c r="D23" s="172">
        <f t="shared" ref="D23:G23" si="6">IF(D18-(D19+D21)&gt;0,D18-(D19+D21),0)</f>
        <v>0</v>
      </c>
      <c r="E23" s="172">
        <f t="shared" si="6"/>
        <v>0</v>
      </c>
      <c r="F23" s="172">
        <f t="shared" si="6"/>
        <v>0</v>
      </c>
      <c r="G23" s="172">
        <f t="shared" si="6"/>
        <v>0</v>
      </c>
      <c r="H23" s="173"/>
      <c r="I23" s="175" t="s">
        <v>6</v>
      </c>
      <c r="J23" s="179">
        <f>税額計算情報!G4*C3+税額計算情報!G3+100000*IF(SUM(C26:G26)&gt;0,SUM(C26:G26)-1,0)</f>
        <v>430000</v>
      </c>
      <c r="K23" s="180" t="s">
        <v>5</v>
      </c>
    </row>
    <row r="24" spans="1:12" ht="15" customHeight="1" thickBot="1" x14ac:dyDescent="0.5">
      <c r="A24" s="291" t="s">
        <v>36</v>
      </c>
      <c r="B24" s="291"/>
      <c r="C24" s="174">
        <f>IF(COUNT(C7)=1,VLOOKUP(C18,作業・変換!$C$39:$E$42,HLOOKUP($B$1,作業・変換!$C$53:$G$68,16)+1),0)</f>
        <v>0</v>
      </c>
      <c r="D24" s="174">
        <f>IF(COUNT(D7)=1,VLOOKUP(D18,作業・変換!$G$39:$I$42,HLOOKUP($B$1,作業・変換!$C$53:$G$68,16)+1),0)</f>
        <v>0</v>
      </c>
      <c r="E24" s="174">
        <f>IF(COUNT(E7)=1,VLOOKUP(E18,作業・変換!$K$39:$M$42,HLOOKUP($B$1,作業・変換!$C$53:$G$68,16)+1),0)</f>
        <v>0</v>
      </c>
      <c r="F24" s="174">
        <f>IF(COUNT(F7)=1,VLOOKUP(F18,作業・変換!$O$39:$Q$42,HLOOKUP($B$1,作業・変換!$C$53:$G$68,16)+1),0)</f>
        <v>0</v>
      </c>
      <c r="G24" s="174">
        <f>IF(COUNT(G7)=1,VLOOKUP(G18,作業・変換!$S$39:$U$42,HLOOKUP($B$1,作業・変換!$C$53:$G$68,16)+1),0)</f>
        <v>0</v>
      </c>
      <c r="H24" s="173"/>
      <c r="I24" s="182" t="s">
        <v>7</v>
      </c>
      <c r="J24" s="183">
        <f>税額計算情報!G5*C3+税額計算情報!G3+100000*IF(SUM(C26:G26)&gt;0,SUM(C26:G26)-1,0)</f>
        <v>430000</v>
      </c>
      <c r="K24" s="184" t="s">
        <v>5</v>
      </c>
    </row>
    <row r="25" spans="1:12" ht="15" customHeight="1" thickBot="1" x14ac:dyDescent="0.5">
      <c r="A25" s="302" t="s">
        <v>68</v>
      </c>
      <c r="B25" s="302"/>
      <c r="C25" s="178">
        <f>IF(AND(COUNT(C7)=1,C5&gt;=65),MIN(C16,150000),0)</f>
        <v>0</v>
      </c>
      <c r="D25" s="178">
        <f>IF(AND(COUNT(D7)=1,D5&gt;=65),MIN(D16,150000),0)</f>
        <v>0</v>
      </c>
      <c r="E25" s="178">
        <f>IF(AND(COUNT(E7)=1,E5&gt;=65),MIN(E16,150000),0)</f>
        <v>0</v>
      </c>
      <c r="F25" s="178">
        <f>IF(AND(COUNT(F7)=1,F5&gt;=65),MIN(F16,150000),0)</f>
        <v>0</v>
      </c>
      <c r="G25" s="178">
        <f>IF(AND(COUNT(G7)=1,G5&gt;=65),MIN(G16,150000),0)</f>
        <v>0</v>
      </c>
      <c r="H25" s="173"/>
      <c r="I25" s="185" t="s">
        <v>62</v>
      </c>
    </row>
    <row r="26" spans="1:12" ht="15" customHeight="1" thickTop="1" thickBot="1" x14ac:dyDescent="0.5">
      <c r="A26" s="302" t="s">
        <v>61</v>
      </c>
      <c r="B26" s="302"/>
      <c r="C26" s="181">
        <f>IF(COUNT(C7)=1,IF(OR(C12&gt;=1,AND(C5&lt;65,C16&gt;=1),AND(C5&gt;64,C16&gt;150000)),1,0),0)</f>
        <v>0</v>
      </c>
      <c r="D26" s="181">
        <f>IF(COUNT(D7)=1,IF(OR(D12&gt;=1,AND(D5&lt;65,D16&gt;=1),AND(D5&gt;64,D16&gt;150000)),1,0),0)</f>
        <v>0</v>
      </c>
      <c r="E26" s="181">
        <f>IF(COUNT(E7)=1,IF(OR(E12&gt;=1,AND(E5&lt;65,E16&gt;=1),AND(E5&gt;64,E16&gt;150000)),1,0),0)</f>
        <v>0</v>
      </c>
      <c r="F26" s="181">
        <f>IF(COUNT(F7)=1,IF(OR(F12&gt;=1,AND(F5&lt;65,F16&gt;=1),AND(F5&gt;64,F16&gt;150000)),1,0),0)</f>
        <v>0</v>
      </c>
      <c r="G26" s="181">
        <f>IF(COUNT(G7)=1,IF(OR(G12&gt;=1,AND(G5&lt;65,G16&gt;=1),AND(G5&gt;64,G16&gt;150000)),1,0),0)</f>
        <v>0</v>
      </c>
      <c r="H26" s="173"/>
      <c r="I26" s="331" t="s">
        <v>64</v>
      </c>
      <c r="J26" s="332"/>
      <c r="K26" s="186">
        <f>IF(I20&lt;=J22,7,IF(I20&lt;=J23,5,IF(I20&lt;=J24,2,0)))</f>
        <v>7</v>
      </c>
    </row>
    <row r="27" spans="1:12" ht="15" customHeight="1" thickTop="1" thickBot="1" x14ac:dyDescent="0.5">
      <c r="A27" s="302" t="s">
        <v>96</v>
      </c>
      <c r="B27" s="302"/>
      <c r="C27" s="181">
        <f>IF(AND(COUNTIF(作業・変換!$B$71:$B$79,C8)&gt;0,C5&lt;65,D2="する"),1,0)</f>
        <v>0</v>
      </c>
      <c r="D27" s="181">
        <f>IF(AND(COUNTIF(作業・変換!$B$71:$B$79,D8)&gt;0,D5&lt;65),1,0)</f>
        <v>0</v>
      </c>
      <c r="E27" s="181">
        <f>IF(AND(COUNTIF(作業・変換!$B$71:$B$79,E8)&gt;0,E5&lt;65),1,0)</f>
        <v>0</v>
      </c>
      <c r="F27" s="181">
        <f>IF(AND(COUNTIF(作業・変換!$B$71:$B$79,F8)&gt;0,F5&lt;65),1,0)</f>
        <v>0</v>
      </c>
      <c r="G27" s="181">
        <f>IF(AND(COUNTIF(作業・変換!$B$71:$B$79,G8)&gt;0,G5&lt;65),1,0)</f>
        <v>0</v>
      </c>
      <c r="H27" s="173"/>
    </row>
    <row r="28" spans="1:12" ht="15" customHeight="1" thickBot="1" x14ac:dyDescent="0.5">
      <c r="A28" s="302" t="s">
        <v>71</v>
      </c>
      <c r="B28" s="302"/>
      <c r="C28" s="181">
        <f>IF(AND(COUNT(C7)=1,C7&gt;=DATEVALUE(TEXT($B$1+2018-6,0)&amp;"/4/1")),1,0)</f>
        <v>0</v>
      </c>
      <c r="D28" s="181">
        <f>IF(AND(COUNT(D7)=1,D7&gt;=DATEVALUE(TEXT($B$1+2018-6,0)&amp;"/4/1")),1,0)</f>
        <v>0</v>
      </c>
      <c r="E28" s="181">
        <f>IF(AND(COUNT(E7)=1,E7&gt;=DATEVALUE(TEXT($B$1+2018-6,0)&amp;"/4/1")),1,0)</f>
        <v>0</v>
      </c>
      <c r="F28" s="181">
        <f>IF(AND(COUNT(F7)=1,F7&gt;=DATEVALUE(TEXT($B$1+2018-6,0)&amp;"/4/1")),1,0)</f>
        <v>0</v>
      </c>
      <c r="G28" s="181">
        <f>IF(AND(COUNT(G7)=1,G7&gt;=DATEVALUE(TEXT($B$1+2018-6,0)&amp;"/4/1")),1,0)</f>
        <v>0</v>
      </c>
      <c r="H28" s="173"/>
      <c r="I28" s="322" t="str">
        <f>CONCATENATE(A1,B1,C1)&amp;"の未就学児軽減割合"</f>
        <v>令和6年度の未就学児軽減割合</v>
      </c>
      <c r="J28" s="323"/>
      <c r="K28" s="189">
        <f>HLOOKUP(B1,作業・変換!C53:G67,15)</f>
        <v>0.5</v>
      </c>
    </row>
    <row r="29" spans="1:12" ht="15" customHeight="1" x14ac:dyDescent="0.45">
      <c r="A29" s="302" t="s">
        <v>176</v>
      </c>
      <c r="B29" s="302"/>
      <c r="C29" s="181">
        <f>IF(AND(作業・変換!$C47-31&lt;C7,C7&lt;作業・変換!$N47),1,0)</f>
        <v>0</v>
      </c>
      <c r="D29" s="181">
        <f>IF(AND(作業・変換!$C47-31&lt;D7,D7&lt;作業・変換!$N47),1,0)</f>
        <v>0</v>
      </c>
      <c r="E29" s="181">
        <f>IF(AND(作業・変換!$C47-31&lt;E7,E7&lt;作業・変換!$N47),1,0)</f>
        <v>0</v>
      </c>
      <c r="F29" s="181">
        <f>IF(AND(作業・変換!$C47-31&lt;F7,F7&lt;作業・変換!$N47),1,0)</f>
        <v>0</v>
      </c>
      <c r="G29" s="181">
        <f>IF(AND(作業・変換!$C47-31&lt;G7,G7&lt;作業・変換!$N47),1,0)</f>
        <v>0</v>
      </c>
    </row>
    <row r="30" spans="1:12" ht="15" customHeight="1" x14ac:dyDescent="0.45">
      <c r="A30" s="307" t="s">
        <v>69</v>
      </c>
      <c r="B30" s="307"/>
      <c r="C30" s="187">
        <f>IF(C23-C25&gt;0,C23-C25,0)</f>
        <v>0</v>
      </c>
      <c r="D30" s="187">
        <f>IF(D23-D25&gt;0,D23-D25,0)</f>
        <v>0</v>
      </c>
      <c r="E30" s="187">
        <f t="shared" ref="E30:G30" si="7">IF(E23-E25&gt;0,E23-E25,0)</f>
        <v>0</v>
      </c>
      <c r="F30" s="187">
        <f t="shared" si="7"/>
        <v>0</v>
      </c>
      <c r="G30" s="187">
        <f t="shared" si="7"/>
        <v>0</v>
      </c>
    </row>
    <row r="31" spans="1:12" ht="15" customHeight="1" x14ac:dyDescent="0.45">
      <c r="A31" s="307" t="s">
        <v>80</v>
      </c>
      <c r="B31" s="307"/>
      <c r="C31" s="188">
        <f>IF(AND(D2="する",C22-C24&gt;0),C22-C24,0)</f>
        <v>0</v>
      </c>
      <c r="D31" s="188">
        <f>IF(D22-D24&gt;0,D22-D24,0)</f>
        <v>0</v>
      </c>
      <c r="E31" s="188">
        <f>IF(E22-E24&gt;0,E22-E24,0)</f>
        <v>0</v>
      </c>
      <c r="F31" s="188">
        <f>IF(F22-F24&gt;0,F22-F24,0)</f>
        <v>0</v>
      </c>
      <c r="G31" s="188">
        <f>IF(G22-G24&gt;0,G22-G24,0)</f>
        <v>0</v>
      </c>
      <c r="H31" s="238"/>
      <c r="I31" s="238"/>
      <c r="J31" s="238"/>
      <c r="K31" s="238"/>
    </row>
    <row r="32" spans="1:12" ht="15" customHeight="1" x14ac:dyDescent="0.45">
      <c r="A32" s="306"/>
      <c r="B32" s="306"/>
      <c r="C32" s="190"/>
      <c r="D32" s="190"/>
      <c r="E32" s="190"/>
      <c r="F32" s="190"/>
      <c r="G32" s="190"/>
      <c r="H32" s="234"/>
      <c r="I32" s="234"/>
      <c r="J32" s="234"/>
      <c r="K32" s="234"/>
    </row>
    <row r="33" spans="1:11" ht="15" customHeight="1" x14ac:dyDescent="0.45">
      <c r="C33" s="191"/>
      <c r="D33" s="191"/>
      <c r="E33" s="192"/>
      <c r="F33" s="191"/>
      <c r="G33" s="191"/>
      <c r="H33" s="234"/>
      <c r="I33" s="234"/>
      <c r="J33" s="234"/>
      <c r="K33" s="234"/>
    </row>
    <row r="34" spans="1:11" ht="15" customHeight="1" x14ac:dyDescent="0.45">
      <c r="A34" s="237" t="s">
        <v>162</v>
      </c>
      <c r="B34" s="238"/>
      <c r="C34" s="238"/>
      <c r="D34" s="238"/>
      <c r="E34" s="238"/>
      <c r="F34" s="238"/>
      <c r="G34" s="238"/>
      <c r="H34" s="234"/>
      <c r="I34" s="234"/>
      <c r="J34" s="234"/>
      <c r="K34" s="234"/>
    </row>
    <row r="35" spans="1:11" ht="15" customHeight="1" x14ac:dyDescent="0.45">
      <c r="A35" s="233" t="s">
        <v>178</v>
      </c>
      <c r="B35" s="234"/>
      <c r="C35" s="234"/>
      <c r="D35" s="234"/>
      <c r="E35" s="234"/>
      <c r="F35" s="234"/>
      <c r="G35" s="234"/>
      <c r="H35" s="234"/>
      <c r="I35" s="234"/>
      <c r="J35" s="234"/>
      <c r="K35" s="234"/>
    </row>
    <row r="36" spans="1:11" ht="15" customHeight="1" x14ac:dyDescent="0.45">
      <c r="A36" s="233" t="s">
        <v>15</v>
      </c>
      <c r="B36" s="234"/>
      <c r="C36" s="234"/>
      <c r="D36" s="234"/>
      <c r="E36" s="234"/>
      <c r="F36" s="234"/>
      <c r="G36" s="234"/>
      <c r="H36" s="236"/>
      <c r="I36" s="236"/>
      <c r="J36" s="236"/>
      <c r="K36" s="236"/>
    </row>
    <row r="37" spans="1:11" ht="15" customHeight="1" x14ac:dyDescent="0.45">
      <c r="A37" s="233" t="s">
        <v>160</v>
      </c>
      <c r="B37" s="234"/>
      <c r="C37" s="234"/>
      <c r="D37" s="234"/>
      <c r="E37" s="234"/>
      <c r="F37" s="234"/>
      <c r="G37" s="234"/>
      <c r="H37" s="236"/>
      <c r="I37" s="236"/>
      <c r="J37" s="236"/>
      <c r="K37" s="236"/>
    </row>
    <row r="38" spans="1:11" ht="15" customHeight="1" x14ac:dyDescent="0.45">
      <c r="A38" s="233" t="s">
        <v>161</v>
      </c>
      <c r="B38" s="234"/>
      <c r="C38" s="234"/>
      <c r="D38" s="234"/>
      <c r="E38" s="234"/>
      <c r="F38" s="234"/>
      <c r="G38" s="234"/>
      <c r="H38" s="236"/>
      <c r="I38" s="236"/>
      <c r="J38" s="236"/>
      <c r="K38" s="236"/>
    </row>
    <row r="39" spans="1:11" ht="15" customHeight="1" x14ac:dyDescent="0.45">
      <c r="A39" s="235" t="s">
        <v>179</v>
      </c>
      <c r="B39" s="236"/>
      <c r="C39" s="236"/>
      <c r="D39" s="236"/>
      <c r="E39" s="236"/>
      <c r="F39" s="236"/>
      <c r="G39" s="236"/>
      <c r="H39" s="234"/>
      <c r="I39" s="234"/>
      <c r="J39" s="234"/>
      <c r="K39" s="234"/>
    </row>
    <row r="40" spans="1:11" ht="15" customHeight="1" x14ac:dyDescent="0.45">
      <c r="A40" s="235" t="s">
        <v>130</v>
      </c>
      <c r="B40" s="236"/>
      <c r="C40" s="236"/>
      <c r="D40" s="236"/>
      <c r="E40" s="236"/>
      <c r="F40" s="236"/>
      <c r="G40" s="236"/>
      <c r="H40" s="195"/>
    </row>
    <row r="41" spans="1:11" ht="15" customHeight="1" x14ac:dyDescent="0.45">
      <c r="A41" s="235" t="s">
        <v>131</v>
      </c>
      <c r="B41" s="236"/>
      <c r="C41" s="236"/>
      <c r="D41" s="236"/>
      <c r="E41" s="236"/>
      <c r="F41" s="236"/>
      <c r="G41" s="236"/>
      <c r="H41" s="195"/>
    </row>
    <row r="42" spans="1:11" ht="15" customHeight="1" x14ac:dyDescent="0.45">
      <c r="A42" s="233" t="s">
        <v>185</v>
      </c>
      <c r="B42" s="234"/>
      <c r="C42" s="234"/>
      <c r="D42" s="234"/>
      <c r="E42" s="234"/>
      <c r="F42" s="234"/>
      <c r="G42" s="234"/>
      <c r="H42" s="173"/>
    </row>
    <row r="43" spans="1:11" ht="15" customHeight="1" x14ac:dyDescent="0.45">
      <c r="D43" s="173"/>
      <c r="E43" s="193"/>
      <c r="F43" s="173"/>
      <c r="G43" s="194"/>
      <c r="H43" s="173"/>
    </row>
    <row r="44" spans="1:11" ht="15" customHeight="1" x14ac:dyDescent="0.45">
      <c r="D44" s="173"/>
      <c r="E44" s="195"/>
      <c r="F44" s="173"/>
      <c r="G44" s="194"/>
      <c r="H44" s="173"/>
    </row>
    <row r="45" spans="1:11" ht="15" customHeight="1" x14ac:dyDescent="0.45">
      <c r="D45" s="194"/>
      <c r="E45" s="195"/>
      <c r="F45" s="173"/>
      <c r="G45" s="173"/>
      <c r="H45" s="195"/>
    </row>
    <row r="46" spans="1:11" ht="15" customHeight="1" x14ac:dyDescent="0.45">
      <c r="D46" s="194"/>
      <c r="E46" s="195"/>
      <c r="F46" s="173"/>
      <c r="G46" s="173"/>
    </row>
    <row r="47" spans="1:11" ht="15" customHeight="1" x14ac:dyDescent="0.45">
      <c r="G47" s="173"/>
    </row>
    <row r="48" spans="1:11" ht="15" customHeight="1" x14ac:dyDescent="0.45">
      <c r="G48" s="194"/>
    </row>
    <row r="49" spans="4:8" ht="15" customHeight="1" x14ac:dyDescent="0.45">
      <c r="G49" s="194"/>
      <c r="H49" s="195"/>
    </row>
    <row r="50" spans="4:8" ht="15" customHeight="1" x14ac:dyDescent="0.45">
      <c r="H50" s="193"/>
    </row>
    <row r="51" spans="4:8" ht="15" customHeight="1" x14ac:dyDescent="0.45">
      <c r="H51" s="195"/>
    </row>
    <row r="54" spans="4:8" ht="15" customHeight="1" x14ac:dyDescent="0.45">
      <c r="D54" s="194"/>
      <c r="E54" s="195"/>
      <c r="F54" s="173"/>
      <c r="G54" s="173"/>
    </row>
    <row r="55" spans="4:8" ht="15" customHeight="1" x14ac:dyDescent="0.45">
      <c r="G55" s="194"/>
    </row>
    <row r="56" spans="4:8" ht="15" customHeight="1" x14ac:dyDescent="0.45">
      <c r="G56" s="194"/>
    </row>
  </sheetData>
  <sheetProtection algorithmName="SHA-512" hashValue="DP/i4pOgVGhcyJXfDda/2k70JBlNv02zFSOhlazhP4vPYuk/dynROER8bYE7ie3CwGtDhy6vnUNO6prDnnMCWg==" saltValue="LLKvODT8djW33fTyD7dgZA==" spinCount="100000" sheet="1" objects="1" scenarios="1"/>
  <protectedRanges>
    <protectedRange sqref="D2" name="範囲1"/>
    <protectedRange sqref="C17:G17 C8:G8 C13:G13" name="範囲3"/>
    <protectedRange sqref="C9:G9" name="範囲3_2"/>
    <protectedRange sqref="C7:G7" name="範囲3_1_1_1_1"/>
  </protectedRanges>
  <mergeCells count="45">
    <mergeCell ref="I28:J28"/>
    <mergeCell ref="H15:L15"/>
    <mergeCell ref="H17:L17"/>
    <mergeCell ref="A17:B17"/>
    <mergeCell ref="A13:B13"/>
    <mergeCell ref="A19:B19"/>
    <mergeCell ref="A18:B18"/>
    <mergeCell ref="H14:L14"/>
    <mergeCell ref="I21:K21"/>
    <mergeCell ref="I26:J26"/>
    <mergeCell ref="I19:K19"/>
    <mergeCell ref="A2:C2"/>
    <mergeCell ref="A32:B32"/>
    <mergeCell ref="A30:B30"/>
    <mergeCell ref="A27:B27"/>
    <mergeCell ref="A3:B3"/>
    <mergeCell ref="A4:B4"/>
    <mergeCell ref="A12:B12"/>
    <mergeCell ref="A16:B16"/>
    <mergeCell ref="A7:B7"/>
    <mergeCell ref="A10:B11"/>
    <mergeCell ref="A29:B29"/>
    <mergeCell ref="A31:B31"/>
    <mergeCell ref="A25:B25"/>
    <mergeCell ref="A28:B28"/>
    <mergeCell ref="A26:B26"/>
    <mergeCell ref="A14:B15"/>
    <mergeCell ref="A6:B6"/>
    <mergeCell ref="A8:B8"/>
    <mergeCell ref="A9:B9"/>
    <mergeCell ref="A24:B24"/>
    <mergeCell ref="I20:J20"/>
    <mergeCell ref="H7:L7"/>
    <mergeCell ref="H8:L8"/>
    <mergeCell ref="H10:L10"/>
    <mergeCell ref="H11:L11"/>
    <mergeCell ref="I6:K6"/>
    <mergeCell ref="I9:L9"/>
    <mergeCell ref="B20:B21"/>
    <mergeCell ref="B22:B23"/>
    <mergeCell ref="D3:G3"/>
    <mergeCell ref="I5:K5"/>
    <mergeCell ref="I3:K3"/>
    <mergeCell ref="I4:K4"/>
    <mergeCell ref="A5:B5"/>
  </mergeCells>
  <phoneticPr fontId="3"/>
  <dataValidations xWindow="360" yWindow="252" count="6">
    <dataValidation type="list" allowBlank="1" showInputMessage="1" showErrorMessage="1" sqref="WVD983043 IR1 SN1 ACJ1 AMF1 AWB1 BFX1 BPT1 BZP1 CJL1 CTH1 DDD1 DMZ1 DWV1 EGR1 EQN1 FAJ1 FKF1 FUB1 GDX1 GNT1 GXP1 HHL1 HRH1 IBD1 IKZ1 IUV1 JER1 JON1 JYJ1 KIF1 KSB1 LBX1 LLT1 LVP1 MFL1 MPH1 MZD1 NIZ1 NSV1 OCR1 OMN1 OWJ1 PGF1 PQB1 PZX1 QJT1 QTP1 RDL1 RNH1 RXD1 SGZ1 SQV1 TAR1 TKN1 TUJ1 UEF1 UOB1 UXX1 VHT1 VRP1 WBL1 WLH1 WVD1 A65544 IR65539 SN65539 ACJ65539 AMF65539 AWB65539 BFX65539 BPT65539 BZP65539 CJL65539 CTH65539 DDD65539 DMZ65539 DWV65539 EGR65539 EQN65539 FAJ65539 FKF65539 FUB65539 GDX65539 GNT65539 GXP65539 HHL65539 HRH65539 IBD65539 IKZ65539 IUV65539 JER65539 JON65539 JYJ65539 KIF65539 KSB65539 LBX65539 LLT65539 LVP65539 MFL65539 MPH65539 MZD65539 NIZ65539 NSV65539 OCR65539 OMN65539 OWJ65539 PGF65539 PQB65539 PZX65539 QJT65539 QTP65539 RDL65539 RNH65539 RXD65539 SGZ65539 SQV65539 TAR65539 TKN65539 TUJ65539 UEF65539 UOB65539 UXX65539 VHT65539 VRP65539 WBL65539 WLH65539 WVD65539 A131080 IR131075 SN131075 ACJ131075 AMF131075 AWB131075 BFX131075 BPT131075 BZP131075 CJL131075 CTH131075 DDD131075 DMZ131075 DWV131075 EGR131075 EQN131075 FAJ131075 FKF131075 FUB131075 GDX131075 GNT131075 GXP131075 HHL131075 HRH131075 IBD131075 IKZ131075 IUV131075 JER131075 JON131075 JYJ131075 KIF131075 KSB131075 LBX131075 LLT131075 LVP131075 MFL131075 MPH131075 MZD131075 NIZ131075 NSV131075 OCR131075 OMN131075 OWJ131075 PGF131075 PQB131075 PZX131075 QJT131075 QTP131075 RDL131075 RNH131075 RXD131075 SGZ131075 SQV131075 TAR131075 TKN131075 TUJ131075 UEF131075 UOB131075 UXX131075 VHT131075 VRP131075 WBL131075 WLH131075 WVD131075 A196616 IR196611 SN196611 ACJ196611 AMF196611 AWB196611 BFX196611 BPT196611 BZP196611 CJL196611 CTH196611 DDD196611 DMZ196611 DWV196611 EGR196611 EQN196611 FAJ196611 FKF196611 FUB196611 GDX196611 GNT196611 GXP196611 HHL196611 HRH196611 IBD196611 IKZ196611 IUV196611 JER196611 JON196611 JYJ196611 KIF196611 KSB196611 LBX196611 LLT196611 LVP196611 MFL196611 MPH196611 MZD196611 NIZ196611 NSV196611 OCR196611 OMN196611 OWJ196611 PGF196611 PQB196611 PZX196611 QJT196611 QTP196611 RDL196611 RNH196611 RXD196611 SGZ196611 SQV196611 TAR196611 TKN196611 TUJ196611 UEF196611 UOB196611 UXX196611 VHT196611 VRP196611 WBL196611 WLH196611 WVD196611 A262152 IR262147 SN262147 ACJ262147 AMF262147 AWB262147 BFX262147 BPT262147 BZP262147 CJL262147 CTH262147 DDD262147 DMZ262147 DWV262147 EGR262147 EQN262147 FAJ262147 FKF262147 FUB262147 GDX262147 GNT262147 GXP262147 HHL262147 HRH262147 IBD262147 IKZ262147 IUV262147 JER262147 JON262147 JYJ262147 KIF262147 KSB262147 LBX262147 LLT262147 LVP262147 MFL262147 MPH262147 MZD262147 NIZ262147 NSV262147 OCR262147 OMN262147 OWJ262147 PGF262147 PQB262147 PZX262147 QJT262147 QTP262147 RDL262147 RNH262147 RXD262147 SGZ262147 SQV262147 TAR262147 TKN262147 TUJ262147 UEF262147 UOB262147 UXX262147 VHT262147 VRP262147 WBL262147 WLH262147 WVD262147 A327688 IR327683 SN327683 ACJ327683 AMF327683 AWB327683 BFX327683 BPT327683 BZP327683 CJL327683 CTH327683 DDD327683 DMZ327683 DWV327683 EGR327683 EQN327683 FAJ327683 FKF327683 FUB327683 GDX327683 GNT327683 GXP327683 HHL327683 HRH327683 IBD327683 IKZ327683 IUV327683 JER327683 JON327683 JYJ327683 KIF327683 KSB327683 LBX327683 LLT327683 LVP327683 MFL327683 MPH327683 MZD327683 NIZ327683 NSV327683 OCR327683 OMN327683 OWJ327683 PGF327683 PQB327683 PZX327683 QJT327683 QTP327683 RDL327683 RNH327683 RXD327683 SGZ327683 SQV327683 TAR327683 TKN327683 TUJ327683 UEF327683 UOB327683 UXX327683 VHT327683 VRP327683 WBL327683 WLH327683 WVD327683 A393224 IR393219 SN393219 ACJ393219 AMF393219 AWB393219 BFX393219 BPT393219 BZP393219 CJL393219 CTH393219 DDD393219 DMZ393219 DWV393219 EGR393219 EQN393219 FAJ393219 FKF393219 FUB393219 GDX393219 GNT393219 GXP393219 HHL393219 HRH393219 IBD393219 IKZ393219 IUV393219 JER393219 JON393219 JYJ393219 KIF393219 KSB393219 LBX393219 LLT393219 LVP393219 MFL393219 MPH393219 MZD393219 NIZ393219 NSV393219 OCR393219 OMN393219 OWJ393219 PGF393219 PQB393219 PZX393219 QJT393219 QTP393219 RDL393219 RNH393219 RXD393219 SGZ393219 SQV393219 TAR393219 TKN393219 TUJ393219 UEF393219 UOB393219 UXX393219 VHT393219 VRP393219 WBL393219 WLH393219 WVD393219 A458760 IR458755 SN458755 ACJ458755 AMF458755 AWB458755 BFX458755 BPT458755 BZP458755 CJL458755 CTH458755 DDD458755 DMZ458755 DWV458755 EGR458755 EQN458755 FAJ458755 FKF458755 FUB458755 GDX458755 GNT458755 GXP458755 HHL458755 HRH458755 IBD458755 IKZ458755 IUV458755 JER458755 JON458755 JYJ458755 KIF458755 KSB458755 LBX458755 LLT458755 LVP458755 MFL458755 MPH458755 MZD458755 NIZ458755 NSV458755 OCR458755 OMN458755 OWJ458755 PGF458755 PQB458755 PZX458755 QJT458755 QTP458755 RDL458755 RNH458755 RXD458755 SGZ458755 SQV458755 TAR458755 TKN458755 TUJ458755 UEF458755 UOB458755 UXX458755 VHT458755 VRP458755 WBL458755 WLH458755 WVD458755 A524296 IR524291 SN524291 ACJ524291 AMF524291 AWB524291 BFX524291 BPT524291 BZP524291 CJL524291 CTH524291 DDD524291 DMZ524291 DWV524291 EGR524291 EQN524291 FAJ524291 FKF524291 FUB524291 GDX524291 GNT524291 GXP524291 HHL524291 HRH524291 IBD524291 IKZ524291 IUV524291 JER524291 JON524291 JYJ524291 KIF524291 KSB524291 LBX524291 LLT524291 LVP524291 MFL524291 MPH524291 MZD524291 NIZ524291 NSV524291 OCR524291 OMN524291 OWJ524291 PGF524291 PQB524291 PZX524291 QJT524291 QTP524291 RDL524291 RNH524291 RXD524291 SGZ524291 SQV524291 TAR524291 TKN524291 TUJ524291 UEF524291 UOB524291 UXX524291 VHT524291 VRP524291 WBL524291 WLH524291 WVD524291 A589832 IR589827 SN589827 ACJ589827 AMF589827 AWB589827 BFX589827 BPT589827 BZP589827 CJL589827 CTH589827 DDD589827 DMZ589827 DWV589827 EGR589827 EQN589827 FAJ589827 FKF589827 FUB589827 GDX589827 GNT589827 GXP589827 HHL589827 HRH589827 IBD589827 IKZ589827 IUV589827 JER589827 JON589827 JYJ589827 KIF589827 KSB589827 LBX589827 LLT589827 LVP589827 MFL589827 MPH589827 MZD589827 NIZ589827 NSV589827 OCR589827 OMN589827 OWJ589827 PGF589827 PQB589827 PZX589827 QJT589827 QTP589827 RDL589827 RNH589827 RXD589827 SGZ589827 SQV589827 TAR589827 TKN589827 TUJ589827 UEF589827 UOB589827 UXX589827 VHT589827 VRP589827 WBL589827 WLH589827 WVD589827 A655368 IR655363 SN655363 ACJ655363 AMF655363 AWB655363 BFX655363 BPT655363 BZP655363 CJL655363 CTH655363 DDD655363 DMZ655363 DWV655363 EGR655363 EQN655363 FAJ655363 FKF655363 FUB655363 GDX655363 GNT655363 GXP655363 HHL655363 HRH655363 IBD655363 IKZ655363 IUV655363 JER655363 JON655363 JYJ655363 KIF655363 KSB655363 LBX655363 LLT655363 LVP655363 MFL655363 MPH655363 MZD655363 NIZ655363 NSV655363 OCR655363 OMN655363 OWJ655363 PGF655363 PQB655363 PZX655363 QJT655363 QTP655363 RDL655363 RNH655363 RXD655363 SGZ655363 SQV655363 TAR655363 TKN655363 TUJ655363 UEF655363 UOB655363 UXX655363 VHT655363 VRP655363 WBL655363 WLH655363 WVD655363 A720904 IR720899 SN720899 ACJ720899 AMF720899 AWB720899 BFX720899 BPT720899 BZP720899 CJL720899 CTH720899 DDD720899 DMZ720899 DWV720899 EGR720899 EQN720899 FAJ720899 FKF720899 FUB720899 GDX720899 GNT720899 GXP720899 HHL720899 HRH720899 IBD720899 IKZ720899 IUV720899 JER720899 JON720899 JYJ720899 KIF720899 KSB720899 LBX720899 LLT720899 LVP720899 MFL720899 MPH720899 MZD720899 NIZ720899 NSV720899 OCR720899 OMN720899 OWJ720899 PGF720899 PQB720899 PZX720899 QJT720899 QTP720899 RDL720899 RNH720899 RXD720899 SGZ720899 SQV720899 TAR720899 TKN720899 TUJ720899 UEF720899 UOB720899 UXX720899 VHT720899 VRP720899 WBL720899 WLH720899 WVD720899 A786440 IR786435 SN786435 ACJ786435 AMF786435 AWB786435 BFX786435 BPT786435 BZP786435 CJL786435 CTH786435 DDD786435 DMZ786435 DWV786435 EGR786435 EQN786435 FAJ786435 FKF786435 FUB786435 GDX786435 GNT786435 GXP786435 HHL786435 HRH786435 IBD786435 IKZ786435 IUV786435 JER786435 JON786435 JYJ786435 KIF786435 KSB786435 LBX786435 LLT786435 LVP786435 MFL786435 MPH786435 MZD786435 NIZ786435 NSV786435 OCR786435 OMN786435 OWJ786435 PGF786435 PQB786435 PZX786435 QJT786435 QTP786435 RDL786435 RNH786435 RXD786435 SGZ786435 SQV786435 TAR786435 TKN786435 TUJ786435 UEF786435 UOB786435 UXX786435 VHT786435 VRP786435 WBL786435 WLH786435 WVD786435 A851976 IR851971 SN851971 ACJ851971 AMF851971 AWB851971 BFX851971 BPT851971 BZP851971 CJL851971 CTH851971 DDD851971 DMZ851971 DWV851971 EGR851971 EQN851971 FAJ851971 FKF851971 FUB851971 GDX851971 GNT851971 GXP851971 HHL851971 HRH851971 IBD851971 IKZ851971 IUV851971 JER851971 JON851971 JYJ851971 KIF851971 KSB851971 LBX851971 LLT851971 LVP851971 MFL851971 MPH851971 MZD851971 NIZ851971 NSV851971 OCR851971 OMN851971 OWJ851971 PGF851971 PQB851971 PZX851971 QJT851971 QTP851971 RDL851971 RNH851971 RXD851971 SGZ851971 SQV851971 TAR851971 TKN851971 TUJ851971 UEF851971 UOB851971 UXX851971 VHT851971 VRP851971 WBL851971 WLH851971 WVD851971 A917512 IR917507 SN917507 ACJ917507 AMF917507 AWB917507 BFX917507 BPT917507 BZP917507 CJL917507 CTH917507 DDD917507 DMZ917507 DWV917507 EGR917507 EQN917507 FAJ917507 FKF917507 FUB917507 GDX917507 GNT917507 GXP917507 HHL917507 HRH917507 IBD917507 IKZ917507 IUV917507 JER917507 JON917507 JYJ917507 KIF917507 KSB917507 LBX917507 LLT917507 LVP917507 MFL917507 MPH917507 MZD917507 NIZ917507 NSV917507 OCR917507 OMN917507 OWJ917507 PGF917507 PQB917507 PZX917507 QJT917507 QTP917507 RDL917507 RNH917507 RXD917507 SGZ917507 SQV917507 TAR917507 TKN917507 TUJ917507 UEF917507 UOB917507 UXX917507 VHT917507 VRP917507 WBL917507 WLH917507 WVD917507 A983048 IR983043 SN983043 ACJ983043 AMF983043 AWB983043 BFX983043 BPT983043 BZP983043 CJL983043 CTH983043 DDD983043 DMZ983043 DWV983043 EGR983043 EQN983043 FAJ983043 FKF983043 FUB983043 GDX983043 GNT983043 GXP983043 HHL983043 HRH983043 IBD983043 IKZ983043 IUV983043 JER983043 JON983043 JYJ983043 KIF983043 KSB983043 LBX983043 LLT983043 LVP983043 MFL983043 MPH983043 MZD983043 NIZ983043 NSV983043 OCR983043 OMN983043 OWJ983043 PGF983043 PQB983043 PZX983043 QJT983043 QTP983043 RDL983043 RNH983043 RXD983043 SGZ983043 SQV983043 TAR983043 TKN983043 TUJ983043 UEF983043 UOB983043 UXX983043 VHT983043 VRP983043 WBL983043 WLH983043">
      <formula1>#REF!</formula1>
    </dataValidation>
    <dataValidation type="list" imeMode="disabled" allowBlank="1" showInputMessage="1" showErrorMessage="1" errorTitle="入力エラー" error="「する」か「しない」で入力してください。" promptTitle="世帯主は国保に加入しますか？" sqref="D2">
      <formula1>"する,しない"</formula1>
    </dataValidation>
    <dataValidation type="date" imeMode="off" allowBlank="1" showInputMessage="1" showErrorMessage="1" errorTitle="入力エラー" error="1971/11/3 や H4/3/21 等の形式で入力してください。" promptTitle="生年月日を入力してください。" prompt="この日付で介護分の対象（40～64歳）か、国保の対象者（74歳まで）かを判定します。" sqref="D7:G7">
      <formula1>1</formula1>
      <formula2>73050</formula2>
    </dataValidation>
    <dataValidation type="list" showInputMessage="1" showErrorMessage="1" sqref="IT65550 WVH983054 WLL983054 WBP983054 VRT983054 VHX983054 UYB983054 UOF983054 UEJ983054 TUN983054 TKR983054 TAV983054 SQZ983054 SHD983054 RXH983054 RNL983054 RDP983054 QTT983054 QJX983054 QAB983054 PQF983054 PGJ983054 OWN983054 OMR983054 OCV983054 NSZ983054 NJD983054 MZH983054 MPL983054 MFP983054 LVT983054 LLX983054 LCB983054 KSF983054 KIJ983054 JYN983054 JOR983054 JEV983054 IUZ983054 ILD983054 IBH983054 HRL983054 HHP983054 GXT983054 GNX983054 GEB983054 FUF983054 FKJ983054 FAN983054 EQR983054 EGV983054 DWZ983054 DND983054 DDH983054 CTL983054 CJP983054 BZT983054 BPX983054 BGB983054 AWF983054 AMJ983054 ACN983054 SR983054 IV983054 C983059:G983059 WVH917518 WLL917518 WBP917518 VRT917518 VHX917518 UYB917518 UOF917518 UEJ917518 TUN917518 TKR917518 TAV917518 SQZ917518 SHD917518 RXH917518 RNL917518 RDP917518 QTT917518 QJX917518 QAB917518 PQF917518 PGJ917518 OWN917518 OMR917518 OCV917518 NSZ917518 NJD917518 MZH917518 MPL917518 MFP917518 LVT917518 LLX917518 LCB917518 KSF917518 KIJ917518 JYN917518 JOR917518 JEV917518 IUZ917518 ILD917518 IBH917518 HRL917518 HHP917518 GXT917518 GNX917518 GEB917518 FUF917518 FKJ917518 FAN917518 EQR917518 EGV917518 DWZ917518 DND917518 DDH917518 CTL917518 CJP917518 BZT917518 BPX917518 BGB917518 AWF917518 AMJ917518 ACN917518 SR917518 IV917518 C917523:G917523 WVH851982 WLL851982 WBP851982 VRT851982 VHX851982 UYB851982 UOF851982 UEJ851982 TUN851982 TKR851982 TAV851982 SQZ851982 SHD851982 RXH851982 RNL851982 RDP851982 QTT851982 QJX851982 QAB851982 PQF851982 PGJ851982 OWN851982 OMR851982 OCV851982 NSZ851982 NJD851982 MZH851982 MPL851982 MFP851982 LVT851982 LLX851982 LCB851982 KSF851982 KIJ851982 JYN851982 JOR851982 JEV851982 IUZ851982 ILD851982 IBH851982 HRL851982 HHP851982 GXT851982 GNX851982 GEB851982 FUF851982 FKJ851982 FAN851982 EQR851982 EGV851982 DWZ851982 DND851982 DDH851982 CTL851982 CJP851982 BZT851982 BPX851982 BGB851982 AWF851982 AMJ851982 ACN851982 SR851982 IV851982 C851987:G851987 WVH786446 WLL786446 WBP786446 VRT786446 VHX786446 UYB786446 UOF786446 UEJ786446 TUN786446 TKR786446 TAV786446 SQZ786446 SHD786446 RXH786446 RNL786446 RDP786446 QTT786446 QJX786446 QAB786446 PQF786446 PGJ786446 OWN786446 OMR786446 OCV786446 NSZ786446 NJD786446 MZH786446 MPL786446 MFP786446 LVT786446 LLX786446 LCB786446 KSF786446 KIJ786446 JYN786446 JOR786446 JEV786446 IUZ786446 ILD786446 IBH786446 HRL786446 HHP786446 GXT786446 GNX786446 GEB786446 FUF786446 FKJ786446 FAN786446 EQR786446 EGV786446 DWZ786446 DND786446 DDH786446 CTL786446 CJP786446 BZT786446 BPX786446 BGB786446 AWF786446 AMJ786446 ACN786446 SR786446 IV786446 C786451:G786451 WVH720910 WLL720910 WBP720910 VRT720910 VHX720910 UYB720910 UOF720910 UEJ720910 TUN720910 TKR720910 TAV720910 SQZ720910 SHD720910 RXH720910 RNL720910 RDP720910 QTT720910 QJX720910 QAB720910 PQF720910 PGJ720910 OWN720910 OMR720910 OCV720910 NSZ720910 NJD720910 MZH720910 MPL720910 MFP720910 LVT720910 LLX720910 LCB720910 KSF720910 KIJ720910 JYN720910 JOR720910 JEV720910 IUZ720910 ILD720910 IBH720910 HRL720910 HHP720910 GXT720910 GNX720910 GEB720910 FUF720910 FKJ720910 FAN720910 EQR720910 EGV720910 DWZ720910 DND720910 DDH720910 CTL720910 CJP720910 BZT720910 BPX720910 BGB720910 AWF720910 AMJ720910 ACN720910 SR720910 IV720910 C720915:G720915 WVH655374 WLL655374 WBP655374 VRT655374 VHX655374 UYB655374 UOF655374 UEJ655374 TUN655374 TKR655374 TAV655374 SQZ655374 SHD655374 RXH655374 RNL655374 RDP655374 QTT655374 QJX655374 QAB655374 PQF655374 PGJ655374 OWN655374 OMR655374 OCV655374 NSZ655374 NJD655374 MZH655374 MPL655374 MFP655374 LVT655374 LLX655374 LCB655374 KSF655374 KIJ655374 JYN655374 JOR655374 JEV655374 IUZ655374 ILD655374 IBH655374 HRL655374 HHP655374 GXT655374 GNX655374 GEB655374 FUF655374 FKJ655374 FAN655374 EQR655374 EGV655374 DWZ655374 DND655374 DDH655374 CTL655374 CJP655374 BZT655374 BPX655374 BGB655374 AWF655374 AMJ655374 ACN655374 SR655374 IV655374 C655379:G655379 WVH589838 WLL589838 WBP589838 VRT589838 VHX589838 UYB589838 UOF589838 UEJ589838 TUN589838 TKR589838 TAV589838 SQZ589838 SHD589838 RXH589838 RNL589838 RDP589838 QTT589838 QJX589838 QAB589838 PQF589838 PGJ589838 OWN589838 OMR589838 OCV589838 NSZ589838 NJD589838 MZH589838 MPL589838 MFP589838 LVT589838 LLX589838 LCB589838 KSF589838 KIJ589838 JYN589838 JOR589838 JEV589838 IUZ589838 ILD589838 IBH589838 HRL589838 HHP589838 GXT589838 GNX589838 GEB589838 FUF589838 FKJ589838 FAN589838 EQR589838 EGV589838 DWZ589838 DND589838 DDH589838 CTL589838 CJP589838 BZT589838 BPX589838 BGB589838 AWF589838 AMJ589838 ACN589838 SR589838 IV589838 C589843:G589843 WVH524302 WLL524302 WBP524302 VRT524302 VHX524302 UYB524302 UOF524302 UEJ524302 TUN524302 TKR524302 TAV524302 SQZ524302 SHD524302 RXH524302 RNL524302 RDP524302 QTT524302 QJX524302 QAB524302 PQF524302 PGJ524302 OWN524302 OMR524302 OCV524302 NSZ524302 NJD524302 MZH524302 MPL524302 MFP524302 LVT524302 LLX524302 LCB524302 KSF524302 KIJ524302 JYN524302 JOR524302 JEV524302 IUZ524302 ILD524302 IBH524302 HRL524302 HHP524302 GXT524302 GNX524302 GEB524302 FUF524302 FKJ524302 FAN524302 EQR524302 EGV524302 DWZ524302 DND524302 DDH524302 CTL524302 CJP524302 BZT524302 BPX524302 BGB524302 AWF524302 AMJ524302 ACN524302 SR524302 IV524302 C524307:G524307 WVH458766 WLL458766 WBP458766 VRT458766 VHX458766 UYB458766 UOF458766 UEJ458766 TUN458766 TKR458766 TAV458766 SQZ458766 SHD458766 RXH458766 RNL458766 RDP458766 QTT458766 QJX458766 QAB458766 PQF458766 PGJ458766 OWN458766 OMR458766 OCV458766 NSZ458766 NJD458766 MZH458766 MPL458766 MFP458766 LVT458766 LLX458766 LCB458766 KSF458766 KIJ458766 JYN458766 JOR458766 JEV458766 IUZ458766 ILD458766 IBH458766 HRL458766 HHP458766 GXT458766 GNX458766 GEB458766 FUF458766 FKJ458766 FAN458766 EQR458766 EGV458766 DWZ458766 DND458766 DDH458766 CTL458766 CJP458766 BZT458766 BPX458766 BGB458766 AWF458766 AMJ458766 ACN458766 SR458766 IV458766 C458771:G458771 WVH393230 WLL393230 WBP393230 VRT393230 VHX393230 UYB393230 UOF393230 UEJ393230 TUN393230 TKR393230 TAV393230 SQZ393230 SHD393230 RXH393230 RNL393230 RDP393230 QTT393230 QJX393230 QAB393230 PQF393230 PGJ393230 OWN393230 OMR393230 OCV393230 NSZ393230 NJD393230 MZH393230 MPL393230 MFP393230 LVT393230 LLX393230 LCB393230 KSF393230 KIJ393230 JYN393230 JOR393230 JEV393230 IUZ393230 ILD393230 IBH393230 HRL393230 HHP393230 GXT393230 GNX393230 GEB393230 FUF393230 FKJ393230 FAN393230 EQR393230 EGV393230 DWZ393230 DND393230 DDH393230 CTL393230 CJP393230 BZT393230 BPX393230 BGB393230 AWF393230 AMJ393230 ACN393230 SR393230 IV393230 C393235:G393235 WVH327694 WLL327694 WBP327694 VRT327694 VHX327694 UYB327694 UOF327694 UEJ327694 TUN327694 TKR327694 TAV327694 SQZ327694 SHD327694 RXH327694 RNL327694 RDP327694 QTT327694 QJX327694 QAB327694 PQF327694 PGJ327694 OWN327694 OMR327694 OCV327694 NSZ327694 NJD327694 MZH327694 MPL327694 MFP327694 LVT327694 LLX327694 LCB327694 KSF327694 KIJ327694 JYN327694 JOR327694 JEV327694 IUZ327694 ILD327694 IBH327694 HRL327694 HHP327694 GXT327694 GNX327694 GEB327694 FUF327694 FKJ327694 FAN327694 EQR327694 EGV327694 DWZ327694 DND327694 DDH327694 CTL327694 CJP327694 BZT327694 BPX327694 BGB327694 AWF327694 AMJ327694 ACN327694 SR327694 IV327694 C327699:G327699 WVH262158 WLL262158 WBP262158 VRT262158 VHX262158 UYB262158 UOF262158 UEJ262158 TUN262158 TKR262158 TAV262158 SQZ262158 SHD262158 RXH262158 RNL262158 RDP262158 QTT262158 QJX262158 QAB262158 PQF262158 PGJ262158 OWN262158 OMR262158 OCV262158 NSZ262158 NJD262158 MZH262158 MPL262158 MFP262158 LVT262158 LLX262158 LCB262158 KSF262158 KIJ262158 JYN262158 JOR262158 JEV262158 IUZ262158 ILD262158 IBH262158 HRL262158 HHP262158 GXT262158 GNX262158 GEB262158 FUF262158 FKJ262158 FAN262158 EQR262158 EGV262158 DWZ262158 DND262158 DDH262158 CTL262158 CJP262158 BZT262158 BPX262158 BGB262158 AWF262158 AMJ262158 ACN262158 SR262158 IV262158 C262163:G262163 WVH196622 WLL196622 WBP196622 VRT196622 VHX196622 UYB196622 UOF196622 UEJ196622 TUN196622 TKR196622 TAV196622 SQZ196622 SHD196622 RXH196622 RNL196622 RDP196622 QTT196622 QJX196622 QAB196622 PQF196622 PGJ196622 OWN196622 OMR196622 OCV196622 NSZ196622 NJD196622 MZH196622 MPL196622 MFP196622 LVT196622 LLX196622 LCB196622 KSF196622 KIJ196622 JYN196622 JOR196622 JEV196622 IUZ196622 ILD196622 IBH196622 HRL196622 HHP196622 GXT196622 GNX196622 GEB196622 FUF196622 FKJ196622 FAN196622 EQR196622 EGV196622 DWZ196622 DND196622 DDH196622 CTL196622 CJP196622 BZT196622 BPX196622 BGB196622 AWF196622 AMJ196622 ACN196622 SR196622 IV196622 C196627:G196627 WVH131086 WLL131086 WBP131086 VRT131086 VHX131086 UYB131086 UOF131086 UEJ131086 TUN131086 TKR131086 TAV131086 SQZ131086 SHD131086 RXH131086 RNL131086 RDP131086 QTT131086 QJX131086 QAB131086 PQF131086 PGJ131086 OWN131086 OMR131086 OCV131086 NSZ131086 NJD131086 MZH131086 MPL131086 MFP131086 LVT131086 LLX131086 LCB131086 KSF131086 KIJ131086 JYN131086 JOR131086 JEV131086 IUZ131086 ILD131086 IBH131086 HRL131086 HHP131086 GXT131086 GNX131086 GEB131086 FUF131086 FKJ131086 FAN131086 EQR131086 EGV131086 DWZ131086 DND131086 DDH131086 CTL131086 CJP131086 BZT131086 BPX131086 BGB131086 AWF131086 AMJ131086 ACN131086 SR131086 IV131086 C131091:G131091 WVH65550 WLL65550 WBP65550 VRT65550 VHX65550 UYB65550 UOF65550 UEJ65550 TUN65550 TKR65550 TAV65550 SQZ65550 SHD65550 RXH65550 RNL65550 RDP65550 QTT65550 QJX65550 QAB65550 PQF65550 PGJ65550 OWN65550 OMR65550 OCV65550 NSZ65550 NJD65550 MZH65550 MPL65550 MFP65550 LVT65550 LLX65550 LCB65550 KSF65550 KIJ65550 JYN65550 JOR65550 JEV65550 IUZ65550 ILD65550 IBH65550 HRL65550 HHP65550 GXT65550 GNX65550 GEB65550 FUF65550 FKJ65550 FAN65550 EQR65550 EGV65550 DWZ65550 DND65550 DDH65550 CTL65550 CJP65550 BZT65550 BPX65550 BGB65550 AWF65550 AMJ65550 ACN65550 SR65550 IV65550 C65555:G65555 WVH7 WLL7 WBP7 VRT7 VHX7 UYB7 UOF7 UEJ7 TUN7 TKR7 TAV7 SQZ7 SHD7 RXH7 RNL7 RDP7 QTT7 QJX7 QAB7 PQF7 PGJ7 OWN7 OMR7 OCV7 NSZ7 NJD7 MZH7 MPL7 MFP7 LVT7 LLX7 LCB7 KSF7 KIJ7 JYN7 JOR7 JEV7 IUZ7 ILD7 IBH7 HRL7 HHP7 GXT7 GNX7 GEB7 FUF7 FKJ7 FAN7 EQR7 EGV7 DWZ7 DND7 DDH7 CTL7 CJP7 BZT7 BPX7 BGB7 AWF7 AMJ7 ACN7 SR7 IV7 AMH7 WVJ983054 WLN983054 WBR983054 VRV983054 VHZ983054 UYD983054 UOH983054 UEL983054 TUP983054 TKT983054 TAX983054 SRB983054 SHF983054 RXJ983054 RNN983054 RDR983054 QTV983054 QJZ983054 QAD983054 PQH983054 PGL983054 OWP983054 OMT983054 OCX983054 NTB983054 NJF983054 MZJ983054 MPN983054 MFR983054 LVV983054 LLZ983054 LCD983054 KSH983054 KIL983054 JYP983054 JOT983054 JEX983054 IVB983054 ILF983054 IBJ983054 HRN983054 HHR983054 GXV983054 GNZ983054 GED983054 FUH983054 FKL983054 FAP983054 EQT983054 EGX983054 DXB983054 DNF983054 DDJ983054 CTN983054 CJR983054 BZV983054 BPZ983054 BGD983054 AWH983054 AML983054 ACP983054 ST983054 IX983054 WVJ917518 WLN917518 WBR917518 VRV917518 VHZ917518 UYD917518 UOH917518 UEL917518 TUP917518 TKT917518 TAX917518 SRB917518 SHF917518 RXJ917518 RNN917518 RDR917518 QTV917518 QJZ917518 QAD917518 PQH917518 PGL917518 OWP917518 OMT917518 OCX917518 NTB917518 NJF917518 MZJ917518 MPN917518 MFR917518 LVV917518 LLZ917518 LCD917518 KSH917518 KIL917518 JYP917518 JOT917518 JEX917518 IVB917518 ILF917518 IBJ917518 HRN917518 HHR917518 GXV917518 GNZ917518 GED917518 FUH917518 FKL917518 FAP917518 EQT917518 EGX917518 DXB917518 DNF917518 DDJ917518 CTN917518 CJR917518 BZV917518 BPZ917518 BGD917518 AWH917518 AML917518 ACP917518 ST917518 IX917518 WVJ851982 WLN851982 WBR851982 VRV851982 VHZ851982 UYD851982 UOH851982 UEL851982 TUP851982 TKT851982 TAX851982 SRB851982 SHF851982 RXJ851982 RNN851982 RDR851982 QTV851982 QJZ851982 QAD851982 PQH851982 PGL851982 OWP851982 OMT851982 OCX851982 NTB851982 NJF851982 MZJ851982 MPN851982 MFR851982 LVV851982 LLZ851982 LCD851982 KSH851982 KIL851982 JYP851982 JOT851982 JEX851982 IVB851982 ILF851982 IBJ851982 HRN851982 HHR851982 GXV851982 GNZ851982 GED851982 FUH851982 FKL851982 FAP851982 EQT851982 EGX851982 DXB851982 DNF851982 DDJ851982 CTN851982 CJR851982 BZV851982 BPZ851982 BGD851982 AWH851982 AML851982 ACP851982 ST851982 IX851982 WVJ786446 WLN786446 WBR786446 VRV786446 VHZ786446 UYD786446 UOH786446 UEL786446 TUP786446 TKT786446 TAX786446 SRB786446 SHF786446 RXJ786446 RNN786446 RDR786446 QTV786446 QJZ786446 QAD786446 PQH786446 PGL786446 OWP786446 OMT786446 OCX786446 NTB786446 NJF786446 MZJ786446 MPN786446 MFR786446 LVV786446 LLZ786446 LCD786446 KSH786446 KIL786446 JYP786446 JOT786446 JEX786446 IVB786446 ILF786446 IBJ786446 HRN786446 HHR786446 GXV786446 GNZ786446 GED786446 FUH786446 FKL786446 FAP786446 EQT786446 EGX786446 DXB786446 DNF786446 DDJ786446 CTN786446 CJR786446 BZV786446 BPZ786446 BGD786446 AWH786446 AML786446 ACP786446 ST786446 IX786446 WVJ720910 WLN720910 WBR720910 VRV720910 VHZ720910 UYD720910 UOH720910 UEL720910 TUP720910 TKT720910 TAX720910 SRB720910 SHF720910 RXJ720910 RNN720910 RDR720910 QTV720910 QJZ720910 QAD720910 PQH720910 PGL720910 OWP720910 OMT720910 OCX720910 NTB720910 NJF720910 MZJ720910 MPN720910 MFR720910 LVV720910 LLZ720910 LCD720910 KSH720910 KIL720910 JYP720910 JOT720910 JEX720910 IVB720910 ILF720910 IBJ720910 HRN720910 HHR720910 GXV720910 GNZ720910 GED720910 FUH720910 FKL720910 FAP720910 EQT720910 EGX720910 DXB720910 DNF720910 DDJ720910 CTN720910 CJR720910 BZV720910 BPZ720910 BGD720910 AWH720910 AML720910 ACP720910 ST720910 IX720910 WVJ655374 WLN655374 WBR655374 VRV655374 VHZ655374 UYD655374 UOH655374 UEL655374 TUP655374 TKT655374 TAX655374 SRB655374 SHF655374 RXJ655374 RNN655374 RDR655374 QTV655374 QJZ655374 QAD655374 PQH655374 PGL655374 OWP655374 OMT655374 OCX655374 NTB655374 NJF655374 MZJ655374 MPN655374 MFR655374 LVV655374 LLZ655374 LCD655374 KSH655374 KIL655374 JYP655374 JOT655374 JEX655374 IVB655374 ILF655374 IBJ655374 HRN655374 HHR655374 GXV655374 GNZ655374 GED655374 FUH655374 FKL655374 FAP655374 EQT655374 EGX655374 DXB655374 DNF655374 DDJ655374 CTN655374 CJR655374 BZV655374 BPZ655374 BGD655374 AWH655374 AML655374 ACP655374 ST655374 IX655374 WVJ589838 WLN589838 WBR589838 VRV589838 VHZ589838 UYD589838 UOH589838 UEL589838 TUP589838 TKT589838 TAX589838 SRB589838 SHF589838 RXJ589838 RNN589838 RDR589838 QTV589838 QJZ589838 QAD589838 PQH589838 PGL589838 OWP589838 OMT589838 OCX589838 NTB589838 NJF589838 MZJ589838 MPN589838 MFR589838 LVV589838 LLZ589838 LCD589838 KSH589838 KIL589838 JYP589838 JOT589838 JEX589838 IVB589838 ILF589838 IBJ589838 HRN589838 HHR589838 GXV589838 GNZ589838 GED589838 FUH589838 FKL589838 FAP589838 EQT589838 EGX589838 DXB589838 DNF589838 DDJ589838 CTN589838 CJR589838 BZV589838 BPZ589838 BGD589838 AWH589838 AML589838 ACP589838 ST589838 IX589838 WVJ524302 WLN524302 WBR524302 VRV524302 VHZ524302 UYD524302 UOH524302 UEL524302 TUP524302 TKT524302 TAX524302 SRB524302 SHF524302 RXJ524302 RNN524302 RDR524302 QTV524302 QJZ524302 QAD524302 PQH524302 PGL524302 OWP524302 OMT524302 OCX524302 NTB524302 NJF524302 MZJ524302 MPN524302 MFR524302 LVV524302 LLZ524302 LCD524302 KSH524302 KIL524302 JYP524302 JOT524302 JEX524302 IVB524302 ILF524302 IBJ524302 HRN524302 HHR524302 GXV524302 GNZ524302 GED524302 FUH524302 FKL524302 FAP524302 EQT524302 EGX524302 DXB524302 DNF524302 DDJ524302 CTN524302 CJR524302 BZV524302 BPZ524302 BGD524302 AWH524302 AML524302 ACP524302 ST524302 IX524302 WVJ458766 WLN458766 WBR458766 VRV458766 VHZ458766 UYD458766 UOH458766 UEL458766 TUP458766 TKT458766 TAX458766 SRB458766 SHF458766 RXJ458766 RNN458766 RDR458766 QTV458766 QJZ458766 QAD458766 PQH458766 PGL458766 OWP458766 OMT458766 OCX458766 NTB458766 NJF458766 MZJ458766 MPN458766 MFR458766 LVV458766 LLZ458766 LCD458766 KSH458766 KIL458766 JYP458766 JOT458766 JEX458766 IVB458766 ILF458766 IBJ458766 HRN458766 HHR458766 GXV458766 GNZ458766 GED458766 FUH458766 FKL458766 FAP458766 EQT458766 EGX458766 DXB458766 DNF458766 DDJ458766 CTN458766 CJR458766 BZV458766 BPZ458766 BGD458766 AWH458766 AML458766 ACP458766 ST458766 IX458766 WVJ393230 WLN393230 WBR393230 VRV393230 VHZ393230 UYD393230 UOH393230 UEL393230 TUP393230 TKT393230 TAX393230 SRB393230 SHF393230 RXJ393230 RNN393230 RDR393230 QTV393230 QJZ393230 QAD393230 PQH393230 PGL393230 OWP393230 OMT393230 OCX393230 NTB393230 NJF393230 MZJ393230 MPN393230 MFR393230 LVV393230 LLZ393230 LCD393230 KSH393230 KIL393230 JYP393230 JOT393230 JEX393230 IVB393230 ILF393230 IBJ393230 HRN393230 HHR393230 GXV393230 GNZ393230 GED393230 FUH393230 FKL393230 FAP393230 EQT393230 EGX393230 DXB393230 DNF393230 DDJ393230 CTN393230 CJR393230 BZV393230 BPZ393230 BGD393230 AWH393230 AML393230 ACP393230 ST393230 IX393230 WVJ327694 WLN327694 WBR327694 VRV327694 VHZ327694 UYD327694 UOH327694 UEL327694 TUP327694 TKT327694 TAX327694 SRB327694 SHF327694 RXJ327694 RNN327694 RDR327694 QTV327694 QJZ327694 QAD327694 PQH327694 PGL327694 OWP327694 OMT327694 OCX327694 NTB327694 NJF327694 MZJ327694 MPN327694 MFR327694 LVV327694 LLZ327694 LCD327694 KSH327694 KIL327694 JYP327694 JOT327694 JEX327694 IVB327694 ILF327694 IBJ327694 HRN327694 HHR327694 GXV327694 GNZ327694 GED327694 FUH327694 FKL327694 FAP327694 EQT327694 EGX327694 DXB327694 DNF327694 DDJ327694 CTN327694 CJR327694 BZV327694 BPZ327694 BGD327694 AWH327694 AML327694 ACP327694 ST327694 IX327694 WVJ262158 WLN262158 WBR262158 VRV262158 VHZ262158 UYD262158 UOH262158 UEL262158 TUP262158 TKT262158 TAX262158 SRB262158 SHF262158 RXJ262158 RNN262158 RDR262158 QTV262158 QJZ262158 QAD262158 PQH262158 PGL262158 OWP262158 OMT262158 OCX262158 NTB262158 NJF262158 MZJ262158 MPN262158 MFR262158 LVV262158 LLZ262158 LCD262158 KSH262158 KIL262158 JYP262158 JOT262158 JEX262158 IVB262158 ILF262158 IBJ262158 HRN262158 HHR262158 GXV262158 GNZ262158 GED262158 FUH262158 FKL262158 FAP262158 EQT262158 EGX262158 DXB262158 DNF262158 DDJ262158 CTN262158 CJR262158 BZV262158 BPZ262158 BGD262158 AWH262158 AML262158 ACP262158 ST262158 IX262158 WVJ196622 WLN196622 WBR196622 VRV196622 VHZ196622 UYD196622 UOH196622 UEL196622 TUP196622 TKT196622 TAX196622 SRB196622 SHF196622 RXJ196622 RNN196622 RDR196622 QTV196622 QJZ196622 QAD196622 PQH196622 PGL196622 OWP196622 OMT196622 OCX196622 NTB196622 NJF196622 MZJ196622 MPN196622 MFR196622 LVV196622 LLZ196622 LCD196622 KSH196622 KIL196622 JYP196622 JOT196622 JEX196622 IVB196622 ILF196622 IBJ196622 HRN196622 HHR196622 GXV196622 GNZ196622 GED196622 FUH196622 FKL196622 FAP196622 EQT196622 EGX196622 DXB196622 DNF196622 DDJ196622 CTN196622 CJR196622 BZV196622 BPZ196622 BGD196622 AWH196622 AML196622 ACP196622 ST196622 IX196622 WVJ131086 WLN131086 WBR131086 VRV131086 VHZ131086 UYD131086 UOH131086 UEL131086 TUP131086 TKT131086 TAX131086 SRB131086 SHF131086 RXJ131086 RNN131086 RDR131086 QTV131086 QJZ131086 QAD131086 PQH131086 PGL131086 OWP131086 OMT131086 OCX131086 NTB131086 NJF131086 MZJ131086 MPN131086 MFR131086 LVV131086 LLZ131086 LCD131086 KSH131086 KIL131086 JYP131086 JOT131086 JEX131086 IVB131086 ILF131086 IBJ131086 HRN131086 HHR131086 GXV131086 GNZ131086 GED131086 FUH131086 FKL131086 FAP131086 EQT131086 EGX131086 DXB131086 DNF131086 DDJ131086 CTN131086 CJR131086 BZV131086 BPZ131086 BGD131086 AWH131086 AML131086 ACP131086 ST131086 IX131086 WVJ65550 WLN65550 WBR65550 VRV65550 VHZ65550 UYD65550 UOH65550 UEL65550 TUP65550 TKT65550 TAX65550 SRB65550 SHF65550 RXJ65550 RNN65550 RDR65550 QTV65550 QJZ65550 QAD65550 PQH65550 PGL65550 OWP65550 OMT65550 OCX65550 NTB65550 NJF65550 MZJ65550 MPN65550 MFR65550 LVV65550 LLZ65550 LCD65550 KSH65550 KIL65550 JYP65550 JOT65550 JEX65550 IVB65550 ILF65550 IBJ65550 HRN65550 HHR65550 GXV65550 GNZ65550 GED65550 FUH65550 FKL65550 FAP65550 EQT65550 EGX65550 DXB65550 DNF65550 DDJ65550 CTN65550 CJR65550 BZV65550 BPZ65550 BGD65550 AWH65550 AML65550 ACP65550 ST65550 IX65550 WVJ7 WLN7 WBR7 VRV7 VHZ7 UYD7 UOH7 UEL7 TUP7 TKT7 TAX7 SRB7 SHF7 RXJ7 RNN7 RDR7 QTV7 QJZ7 QAD7 PQH7 PGL7 OWP7 OMT7 OCX7 NTB7 NJF7 MZJ7 MPN7 MFR7 LVV7 LLZ7 LCD7 KSH7 KIL7 JYP7 JOT7 JEX7 IVB7 ILF7 IBJ7 HRN7 HHR7 GXV7 GNZ7 GED7 FUH7 FKL7 FAP7 EQT7 EGX7 DXB7 DNF7 DDJ7 CTN7 CJR7 BZV7 BPZ7 BGD7 AWH7 AML7 ACP7 ST7 IX7 ACL7 WVL983054 WLP983054 WBT983054 VRX983054 VIB983054 UYF983054 UOJ983054 UEN983054 TUR983054 TKV983054 TAZ983054 SRD983054 SHH983054 RXL983054 RNP983054 RDT983054 QTX983054 QKB983054 QAF983054 PQJ983054 PGN983054 OWR983054 OMV983054 OCZ983054 NTD983054 NJH983054 MZL983054 MPP983054 MFT983054 LVX983054 LMB983054 LCF983054 KSJ983054 KIN983054 JYR983054 JOV983054 JEZ983054 IVD983054 ILH983054 IBL983054 HRP983054 HHT983054 GXX983054 GOB983054 GEF983054 FUJ983054 FKN983054 FAR983054 EQV983054 EGZ983054 DXD983054 DNH983054 DDL983054 CTP983054 CJT983054 BZX983054 BQB983054 BGF983054 AWJ983054 AMN983054 ACR983054 SV983054 IZ983054 WVL917518 WLP917518 WBT917518 VRX917518 VIB917518 UYF917518 UOJ917518 UEN917518 TUR917518 TKV917518 TAZ917518 SRD917518 SHH917518 RXL917518 RNP917518 RDT917518 QTX917518 QKB917518 QAF917518 PQJ917518 PGN917518 OWR917518 OMV917518 OCZ917518 NTD917518 NJH917518 MZL917518 MPP917518 MFT917518 LVX917518 LMB917518 LCF917518 KSJ917518 KIN917518 JYR917518 JOV917518 JEZ917518 IVD917518 ILH917518 IBL917518 HRP917518 HHT917518 GXX917518 GOB917518 GEF917518 FUJ917518 FKN917518 FAR917518 EQV917518 EGZ917518 DXD917518 DNH917518 DDL917518 CTP917518 CJT917518 BZX917518 BQB917518 BGF917518 AWJ917518 AMN917518 ACR917518 SV917518 IZ917518 WVL851982 WLP851982 WBT851982 VRX851982 VIB851982 UYF851982 UOJ851982 UEN851982 TUR851982 TKV851982 TAZ851982 SRD851982 SHH851982 RXL851982 RNP851982 RDT851982 QTX851982 QKB851982 QAF851982 PQJ851982 PGN851982 OWR851982 OMV851982 OCZ851982 NTD851982 NJH851982 MZL851982 MPP851982 MFT851982 LVX851982 LMB851982 LCF851982 KSJ851982 KIN851982 JYR851982 JOV851982 JEZ851982 IVD851982 ILH851982 IBL851982 HRP851982 HHT851982 GXX851982 GOB851982 GEF851982 FUJ851982 FKN851982 FAR851982 EQV851982 EGZ851982 DXD851982 DNH851982 DDL851982 CTP851982 CJT851982 BZX851982 BQB851982 BGF851982 AWJ851982 AMN851982 ACR851982 SV851982 IZ851982 WVL786446 WLP786446 WBT786446 VRX786446 VIB786446 UYF786446 UOJ786446 UEN786446 TUR786446 TKV786446 TAZ786446 SRD786446 SHH786446 RXL786446 RNP786446 RDT786446 QTX786446 QKB786446 QAF786446 PQJ786446 PGN786446 OWR786446 OMV786446 OCZ786446 NTD786446 NJH786446 MZL786446 MPP786446 MFT786446 LVX786446 LMB786446 LCF786446 KSJ786446 KIN786446 JYR786446 JOV786446 JEZ786446 IVD786446 ILH786446 IBL786446 HRP786446 HHT786446 GXX786446 GOB786446 GEF786446 FUJ786446 FKN786446 FAR786446 EQV786446 EGZ786446 DXD786446 DNH786446 DDL786446 CTP786446 CJT786446 BZX786446 BQB786446 BGF786446 AWJ786446 AMN786446 ACR786446 SV786446 IZ786446 WVL720910 WLP720910 WBT720910 VRX720910 VIB720910 UYF720910 UOJ720910 UEN720910 TUR720910 TKV720910 TAZ720910 SRD720910 SHH720910 RXL720910 RNP720910 RDT720910 QTX720910 QKB720910 QAF720910 PQJ720910 PGN720910 OWR720910 OMV720910 OCZ720910 NTD720910 NJH720910 MZL720910 MPP720910 MFT720910 LVX720910 LMB720910 LCF720910 KSJ720910 KIN720910 JYR720910 JOV720910 JEZ720910 IVD720910 ILH720910 IBL720910 HRP720910 HHT720910 GXX720910 GOB720910 GEF720910 FUJ720910 FKN720910 FAR720910 EQV720910 EGZ720910 DXD720910 DNH720910 DDL720910 CTP720910 CJT720910 BZX720910 BQB720910 BGF720910 AWJ720910 AMN720910 ACR720910 SV720910 IZ720910 WVL655374 WLP655374 WBT655374 VRX655374 VIB655374 UYF655374 UOJ655374 UEN655374 TUR655374 TKV655374 TAZ655374 SRD655374 SHH655374 RXL655374 RNP655374 RDT655374 QTX655374 QKB655374 QAF655374 PQJ655374 PGN655374 OWR655374 OMV655374 OCZ655374 NTD655374 NJH655374 MZL655374 MPP655374 MFT655374 LVX655374 LMB655374 LCF655374 KSJ655374 KIN655374 JYR655374 JOV655374 JEZ655374 IVD655374 ILH655374 IBL655374 HRP655374 HHT655374 GXX655374 GOB655374 GEF655374 FUJ655374 FKN655374 FAR655374 EQV655374 EGZ655374 DXD655374 DNH655374 DDL655374 CTP655374 CJT655374 BZX655374 BQB655374 BGF655374 AWJ655374 AMN655374 ACR655374 SV655374 IZ655374 WVL589838 WLP589838 WBT589838 VRX589838 VIB589838 UYF589838 UOJ589838 UEN589838 TUR589838 TKV589838 TAZ589838 SRD589838 SHH589838 RXL589838 RNP589838 RDT589838 QTX589838 QKB589838 QAF589838 PQJ589838 PGN589838 OWR589838 OMV589838 OCZ589838 NTD589838 NJH589838 MZL589838 MPP589838 MFT589838 LVX589838 LMB589838 LCF589838 KSJ589838 KIN589838 JYR589838 JOV589838 JEZ589838 IVD589838 ILH589838 IBL589838 HRP589838 HHT589838 GXX589838 GOB589838 GEF589838 FUJ589838 FKN589838 FAR589838 EQV589838 EGZ589838 DXD589838 DNH589838 DDL589838 CTP589838 CJT589838 BZX589838 BQB589838 BGF589838 AWJ589838 AMN589838 ACR589838 SV589838 IZ589838 WVL524302 WLP524302 WBT524302 VRX524302 VIB524302 UYF524302 UOJ524302 UEN524302 TUR524302 TKV524302 TAZ524302 SRD524302 SHH524302 RXL524302 RNP524302 RDT524302 QTX524302 QKB524302 QAF524302 PQJ524302 PGN524302 OWR524302 OMV524302 OCZ524302 NTD524302 NJH524302 MZL524302 MPP524302 MFT524302 LVX524302 LMB524302 LCF524302 KSJ524302 KIN524302 JYR524302 JOV524302 JEZ524302 IVD524302 ILH524302 IBL524302 HRP524302 HHT524302 GXX524302 GOB524302 GEF524302 FUJ524302 FKN524302 FAR524302 EQV524302 EGZ524302 DXD524302 DNH524302 DDL524302 CTP524302 CJT524302 BZX524302 BQB524302 BGF524302 AWJ524302 AMN524302 ACR524302 SV524302 IZ524302 WVL458766 WLP458766 WBT458766 VRX458766 VIB458766 UYF458766 UOJ458766 UEN458766 TUR458766 TKV458766 TAZ458766 SRD458766 SHH458766 RXL458766 RNP458766 RDT458766 QTX458766 QKB458766 QAF458766 PQJ458766 PGN458766 OWR458766 OMV458766 OCZ458766 NTD458766 NJH458766 MZL458766 MPP458766 MFT458766 LVX458766 LMB458766 LCF458766 KSJ458766 KIN458766 JYR458766 JOV458766 JEZ458766 IVD458766 ILH458766 IBL458766 HRP458766 HHT458766 GXX458766 GOB458766 GEF458766 FUJ458766 FKN458766 FAR458766 EQV458766 EGZ458766 DXD458766 DNH458766 DDL458766 CTP458766 CJT458766 BZX458766 BQB458766 BGF458766 AWJ458766 AMN458766 ACR458766 SV458766 IZ458766 WVL393230 WLP393230 WBT393230 VRX393230 VIB393230 UYF393230 UOJ393230 UEN393230 TUR393230 TKV393230 TAZ393230 SRD393230 SHH393230 RXL393230 RNP393230 RDT393230 QTX393230 QKB393230 QAF393230 PQJ393230 PGN393230 OWR393230 OMV393230 OCZ393230 NTD393230 NJH393230 MZL393230 MPP393230 MFT393230 LVX393230 LMB393230 LCF393230 KSJ393230 KIN393230 JYR393230 JOV393230 JEZ393230 IVD393230 ILH393230 IBL393230 HRP393230 HHT393230 GXX393230 GOB393230 GEF393230 FUJ393230 FKN393230 FAR393230 EQV393230 EGZ393230 DXD393230 DNH393230 DDL393230 CTP393230 CJT393230 BZX393230 BQB393230 BGF393230 AWJ393230 AMN393230 ACR393230 SV393230 IZ393230 WVL327694 WLP327694 WBT327694 VRX327694 VIB327694 UYF327694 UOJ327694 UEN327694 TUR327694 TKV327694 TAZ327694 SRD327694 SHH327694 RXL327694 RNP327694 RDT327694 QTX327694 QKB327694 QAF327694 PQJ327694 PGN327694 OWR327694 OMV327694 OCZ327694 NTD327694 NJH327694 MZL327694 MPP327694 MFT327694 LVX327694 LMB327694 LCF327694 KSJ327694 KIN327694 JYR327694 JOV327694 JEZ327694 IVD327694 ILH327694 IBL327694 HRP327694 HHT327694 GXX327694 GOB327694 GEF327694 FUJ327694 FKN327694 FAR327694 EQV327694 EGZ327694 DXD327694 DNH327694 DDL327694 CTP327694 CJT327694 BZX327694 BQB327694 BGF327694 AWJ327694 AMN327694 ACR327694 SV327694 IZ327694 WVL262158 WLP262158 WBT262158 VRX262158 VIB262158 UYF262158 UOJ262158 UEN262158 TUR262158 TKV262158 TAZ262158 SRD262158 SHH262158 RXL262158 RNP262158 RDT262158 QTX262158 QKB262158 QAF262158 PQJ262158 PGN262158 OWR262158 OMV262158 OCZ262158 NTD262158 NJH262158 MZL262158 MPP262158 MFT262158 LVX262158 LMB262158 LCF262158 KSJ262158 KIN262158 JYR262158 JOV262158 JEZ262158 IVD262158 ILH262158 IBL262158 HRP262158 HHT262158 GXX262158 GOB262158 GEF262158 FUJ262158 FKN262158 FAR262158 EQV262158 EGZ262158 DXD262158 DNH262158 DDL262158 CTP262158 CJT262158 BZX262158 BQB262158 BGF262158 AWJ262158 AMN262158 ACR262158 SV262158 IZ262158 WVL196622 WLP196622 WBT196622 VRX196622 VIB196622 UYF196622 UOJ196622 UEN196622 TUR196622 TKV196622 TAZ196622 SRD196622 SHH196622 RXL196622 RNP196622 RDT196622 QTX196622 QKB196622 QAF196622 PQJ196622 PGN196622 OWR196622 OMV196622 OCZ196622 NTD196622 NJH196622 MZL196622 MPP196622 MFT196622 LVX196622 LMB196622 LCF196622 KSJ196622 KIN196622 JYR196622 JOV196622 JEZ196622 IVD196622 ILH196622 IBL196622 HRP196622 HHT196622 GXX196622 GOB196622 GEF196622 FUJ196622 FKN196622 FAR196622 EQV196622 EGZ196622 DXD196622 DNH196622 DDL196622 CTP196622 CJT196622 BZX196622 BQB196622 BGF196622 AWJ196622 AMN196622 ACR196622 SV196622 IZ196622 WVL131086 WLP131086 WBT131086 VRX131086 VIB131086 UYF131086 UOJ131086 UEN131086 TUR131086 TKV131086 TAZ131086 SRD131086 SHH131086 RXL131086 RNP131086 RDT131086 QTX131086 QKB131086 QAF131086 PQJ131086 PGN131086 OWR131086 OMV131086 OCZ131086 NTD131086 NJH131086 MZL131086 MPP131086 MFT131086 LVX131086 LMB131086 LCF131086 KSJ131086 KIN131086 JYR131086 JOV131086 JEZ131086 IVD131086 ILH131086 IBL131086 HRP131086 HHT131086 GXX131086 GOB131086 GEF131086 FUJ131086 FKN131086 FAR131086 EQV131086 EGZ131086 DXD131086 DNH131086 DDL131086 CTP131086 CJT131086 BZX131086 BQB131086 BGF131086 AWJ131086 AMN131086 ACR131086 SV131086 IZ131086 WVL65550 WLP65550 WBT65550 VRX65550 VIB65550 UYF65550 UOJ65550 UEN65550 TUR65550 TKV65550 TAZ65550 SRD65550 SHH65550 RXL65550 RNP65550 RDT65550 QTX65550 QKB65550 QAF65550 PQJ65550 PGN65550 OWR65550 OMV65550 OCZ65550 NTD65550 NJH65550 MZL65550 MPP65550 MFT65550 LVX65550 LMB65550 LCF65550 KSJ65550 KIN65550 JYR65550 JOV65550 JEZ65550 IVD65550 ILH65550 IBL65550 HRP65550 HHT65550 GXX65550 GOB65550 GEF65550 FUJ65550 FKN65550 FAR65550 EQV65550 EGZ65550 DXD65550 DNH65550 DDL65550 CTP65550 CJT65550 BZX65550 BQB65550 BGF65550 AWJ65550 AMN65550 ACR65550 SV65550 IZ65550 WVL7 WLP7 WBT7 VRX7 VIB7 UYF7 UOJ7 UEN7 TUR7 TKV7 TAZ7 SRD7 SHH7 RXL7 RNP7 RDT7 QTX7 QKB7 QAF7 PQJ7 PGN7 OWR7 OMV7 OCZ7 NTD7 NJH7 MZL7 MPP7 MFT7 LVX7 LMB7 LCF7 KSJ7 KIN7 JYR7 JOV7 JEZ7 IVD7 ILH7 IBL7 HRP7 HHT7 GXX7 GOB7 GEF7 FUJ7 FKN7 FAR7 EQV7 EGZ7 DXD7 DNH7 DDL7 CTP7 CJT7 BZX7 BQB7 BGF7 AWJ7 AMN7 ACR7 SV7 IZ7 SP7 WVN983054 WLR983054 WBV983054 VRZ983054 VID983054 UYH983054 UOL983054 UEP983054 TUT983054 TKX983054 TBB983054 SRF983054 SHJ983054 RXN983054 RNR983054 RDV983054 QTZ983054 QKD983054 QAH983054 PQL983054 PGP983054 OWT983054 OMX983054 ODB983054 NTF983054 NJJ983054 MZN983054 MPR983054 MFV983054 LVZ983054 LMD983054 LCH983054 KSL983054 KIP983054 JYT983054 JOX983054 JFB983054 IVF983054 ILJ983054 IBN983054 HRR983054 HHV983054 GXZ983054 GOD983054 GEH983054 FUL983054 FKP983054 FAT983054 EQX983054 EHB983054 DXF983054 DNJ983054 DDN983054 CTR983054 CJV983054 BZZ983054 BQD983054 BGH983054 AWL983054 AMP983054 ACT983054 SX983054 JB983054 WVN917518 WLR917518 WBV917518 VRZ917518 VID917518 UYH917518 UOL917518 UEP917518 TUT917518 TKX917518 TBB917518 SRF917518 SHJ917518 RXN917518 RNR917518 RDV917518 QTZ917518 QKD917518 QAH917518 PQL917518 PGP917518 OWT917518 OMX917518 ODB917518 NTF917518 NJJ917518 MZN917518 MPR917518 MFV917518 LVZ917518 LMD917518 LCH917518 KSL917518 KIP917518 JYT917518 JOX917518 JFB917518 IVF917518 ILJ917518 IBN917518 HRR917518 HHV917518 GXZ917518 GOD917518 GEH917518 FUL917518 FKP917518 FAT917518 EQX917518 EHB917518 DXF917518 DNJ917518 DDN917518 CTR917518 CJV917518 BZZ917518 BQD917518 BGH917518 AWL917518 AMP917518 ACT917518 SX917518 JB917518 WVN851982 WLR851982 WBV851982 VRZ851982 VID851982 UYH851982 UOL851982 UEP851982 TUT851982 TKX851982 TBB851982 SRF851982 SHJ851982 RXN851982 RNR851982 RDV851982 QTZ851982 QKD851982 QAH851982 PQL851982 PGP851982 OWT851982 OMX851982 ODB851982 NTF851982 NJJ851982 MZN851982 MPR851982 MFV851982 LVZ851982 LMD851982 LCH851982 KSL851982 KIP851982 JYT851982 JOX851982 JFB851982 IVF851982 ILJ851982 IBN851982 HRR851982 HHV851982 GXZ851982 GOD851982 GEH851982 FUL851982 FKP851982 FAT851982 EQX851982 EHB851982 DXF851982 DNJ851982 DDN851982 CTR851982 CJV851982 BZZ851982 BQD851982 BGH851982 AWL851982 AMP851982 ACT851982 SX851982 JB851982 WVN786446 WLR786446 WBV786446 VRZ786446 VID786446 UYH786446 UOL786446 UEP786446 TUT786446 TKX786446 TBB786446 SRF786446 SHJ786446 RXN786446 RNR786446 RDV786446 QTZ786446 QKD786446 QAH786446 PQL786446 PGP786446 OWT786446 OMX786446 ODB786446 NTF786446 NJJ786446 MZN786446 MPR786446 MFV786446 LVZ786446 LMD786446 LCH786446 KSL786446 KIP786446 JYT786446 JOX786446 JFB786446 IVF786446 ILJ786446 IBN786446 HRR786446 HHV786446 GXZ786446 GOD786446 GEH786446 FUL786446 FKP786446 FAT786446 EQX786446 EHB786446 DXF786446 DNJ786446 DDN786446 CTR786446 CJV786446 BZZ786446 BQD786446 BGH786446 AWL786446 AMP786446 ACT786446 SX786446 JB786446 WVN720910 WLR720910 WBV720910 VRZ720910 VID720910 UYH720910 UOL720910 UEP720910 TUT720910 TKX720910 TBB720910 SRF720910 SHJ720910 RXN720910 RNR720910 RDV720910 QTZ720910 QKD720910 QAH720910 PQL720910 PGP720910 OWT720910 OMX720910 ODB720910 NTF720910 NJJ720910 MZN720910 MPR720910 MFV720910 LVZ720910 LMD720910 LCH720910 KSL720910 KIP720910 JYT720910 JOX720910 JFB720910 IVF720910 ILJ720910 IBN720910 HRR720910 HHV720910 GXZ720910 GOD720910 GEH720910 FUL720910 FKP720910 FAT720910 EQX720910 EHB720910 DXF720910 DNJ720910 DDN720910 CTR720910 CJV720910 BZZ720910 BQD720910 BGH720910 AWL720910 AMP720910 ACT720910 SX720910 JB720910 WVN655374 WLR655374 WBV655374 VRZ655374 VID655374 UYH655374 UOL655374 UEP655374 TUT655374 TKX655374 TBB655374 SRF655374 SHJ655374 RXN655374 RNR655374 RDV655374 QTZ655374 QKD655374 QAH655374 PQL655374 PGP655374 OWT655374 OMX655374 ODB655374 NTF655374 NJJ655374 MZN655374 MPR655374 MFV655374 LVZ655374 LMD655374 LCH655374 KSL655374 KIP655374 JYT655374 JOX655374 JFB655374 IVF655374 ILJ655374 IBN655374 HRR655374 HHV655374 GXZ655374 GOD655374 GEH655374 FUL655374 FKP655374 FAT655374 EQX655374 EHB655374 DXF655374 DNJ655374 DDN655374 CTR655374 CJV655374 BZZ655374 BQD655374 BGH655374 AWL655374 AMP655374 ACT655374 SX655374 JB655374 WVN589838 WLR589838 WBV589838 VRZ589838 VID589838 UYH589838 UOL589838 UEP589838 TUT589838 TKX589838 TBB589838 SRF589838 SHJ589838 RXN589838 RNR589838 RDV589838 QTZ589838 QKD589838 QAH589838 PQL589838 PGP589838 OWT589838 OMX589838 ODB589838 NTF589838 NJJ589838 MZN589838 MPR589838 MFV589838 LVZ589838 LMD589838 LCH589838 KSL589838 KIP589838 JYT589838 JOX589838 JFB589838 IVF589838 ILJ589838 IBN589838 HRR589838 HHV589838 GXZ589838 GOD589838 GEH589838 FUL589838 FKP589838 FAT589838 EQX589838 EHB589838 DXF589838 DNJ589838 DDN589838 CTR589838 CJV589838 BZZ589838 BQD589838 BGH589838 AWL589838 AMP589838 ACT589838 SX589838 JB589838 WVN524302 WLR524302 WBV524302 VRZ524302 VID524302 UYH524302 UOL524302 UEP524302 TUT524302 TKX524302 TBB524302 SRF524302 SHJ524302 RXN524302 RNR524302 RDV524302 QTZ524302 QKD524302 QAH524302 PQL524302 PGP524302 OWT524302 OMX524302 ODB524302 NTF524302 NJJ524302 MZN524302 MPR524302 MFV524302 LVZ524302 LMD524302 LCH524302 KSL524302 KIP524302 JYT524302 JOX524302 JFB524302 IVF524302 ILJ524302 IBN524302 HRR524302 HHV524302 GXZ524302 GOD524302 GEH524302 FUL524302 FKP524302 FAT524302 EQX524302 EHB524302 DXF524302 DNJ524302 DDN524302 CTR524302 CJV524302 BZZ524302 BQD524302 BGH524302 AWL524302 AMP524302 ACT524302 SX524302 JB524302 WVN458766 WLR458766 WBV458766 VRZ458766 VID458766 UYH458766 UOL458766 UEP458766 TUT458766 TKX458766 TBB458766 SRF458766 SHJ458766 RXN458766 RNR458766 RDV458766 QTZ458766 QKD458766 QAH458766 PQL458766 PGP458766 OWT458766 OMX458766 ODB458766 NTF458766 NJJ458766 MZN458766 MPR458766 MFV458766 LVZ458766 LMD458766 LCH458766 KSL458766 KIP458766 JYT458766 JOX458766 JFB458766 IVF458766 ILJ458766 IBN458766 HRR458766 HHV458766 GXZ458766 GOD458766 GEH458766 FUL458766 FKP458766 FAT458766 EQX458766 EHB458766 DXF458766 DNJ458766 DDN458766 CTR458766 CJV458766 BZZ458766 BQD458766 BGH458766 AWL458766 AMP458766 ACT458766 SX458766 JB458766 WVN393230 WLR393230 WBV393230 VRZ393230 VID393230 UYH393230 UOL393230 UEP393230 TUT393230 TKX393230 TBB393230 SRF393230 SHJ393230 RXN393230 RNR393230 RDV393230 QTZ393230 QKD393230 QAH393230 PQL393230 PGP393230 OWT393230 OMX393230 ODB393230 NTF393230 NJJ393230 MZN393230 MPR393230 MFV393230 LVZ393230 LMD393230 LCH393230 KSL393230 KIP393230 JYT393230 JOX393230 JFB393230 IVF393230 ILJ393230 IBN393230 HRR393230 HHV393230 GXZ393230 GOD393230 GEH393230 FUL393230 FKP393230 FAT393230 EQX393230 EHB393230 DXF393230 DNJ393230 DDN393230 CTR393230 CJV393230 BZZ393230 BQD393230 BGH393230 AWL393230 AMP393230 ACT393230 SX393230 JB393230 WVN327694 WLR327694 WBV327694 VRZ327694 VID327694 UYH327694 UOL327694 UEP327694 TUT327694 TKX327694 TBB327694 SRF327694 SHJ327694 RXN327694 RNR327694 RDV327694 QTZ327694 QKD327694 QAH327694 PQL327694 PGP327694 OWT327694 OMX327694 ODB327694 NTF327694 NJJ327694 MZN327694 MPR327694 MFV327694 LVZ327694 LMD327694 LCH327694 KSL327694 KIP327694 JYT327694 JOX327694 JFB327694 IVF327694 ILJ327694 IBN327694 HRR327694 HHV327694 GXZ327694 GOD327694 GEH327694 FUL327694 FKP327694 FAT327694 EQX327694 EHB327694 DXF327694 DNJ327694 DDN327694 CTR327694 CJV327694 BZZ327694 BQD327694 BGH327694 AWL327694 AMP327694 ACT327694 SX327694 JB327694 WVN262158 WLR262158 WBV262158 VRZ262158 VID262158 UYH262158 UOL262158 UEP262158 TUT262158 TKX262158 TBB262158 SRF262158 SHJ262158 RXN262158 RNR262158 RDV262158 QTZ262158 QKD262158 QAH262158 PQL262158 PGP262158 OWT262158 OMX262158 ODB262158 NTF262158 NJJ262158 MZN262158 MPR262158 MFV262158 LVZ262158 LMD262158 LCH262158 KSL262158 KIP262158 JYT262158 JOX262158 JFB262158 IVF262158 ILJ262158 IBN262158 HRR262158 HHV262158 GXZ262158 GOD262158 GEH262158 FUL262158 FKP262158 FAT262158 EQX262158 EHB262158 DXF262158 DNJ262158 DDN262158 CTR262158 CJV262158 BZZ262158 BQD262158 BGH262158 AWL262158 AMP262158 ACT262158 SX262158 JB262158 WVN196622 WLR196622 WBV196622 VRZ196622 VID196622 UYH196622 UOL196622 UEP196622 TUT196622 TKX196622 TBB196622 SRF196622 SHJ196622 RXN196622 RNR196622 RDV196622 QTZ196622 QKD196622 QAH196622 PQL196622 PGP196622 OWT196622 OMX196622 ODB196622 NTF196622 NJJ196622 MZN196622 MPR196622 MFV196622 LVZ196622 LMD196622 LCH196622 KSL196622 KIP196622 JYT196622 JOX196622 JFB196622 IVF196622 ILJ196622 IBN196622 HRR196622 HHV196622 GXZ196622 GOD196622 GEH196622 FUL196622 FKP196622 FAT196622 EQX196622 EHB196622 DXF196622 DNJ196622 DDN196622 CTR196622 CJV196622 BZZ196622 BQD196622 BGH196622 AWL196622 AMP196622 ACT196622 SX196622 JB196622 WVN131086 WLR131086 WBV131086 VRZ131086 VID131086 UYH131086 UOL131086 UEP131086 TUT131086 TKX131086 TBB131086 SRF131086 SHJ131086 RXN131086 RNR131086 RDV131086 QTZ131086 QKD131086 QAH131086 PQL131086 PGP131086 OWT131086 OMX131086 ODB131086 NTF131086 NJJ131086 MZN131086 MPR131086 MFV131086 LVZ131086 LMD131086 LCH131086 KSL131086 KIP131086 JYT131086 JOX131086 JFB131086 IVF131086 ILJ131086 IBN131086 HRR131086 HHV131086 GXZ131086 GOD131086 GEH131086 FUL131086 FKP131086 FAT131086 EQX131086 EHB131086 DXF131086 DNJ131086 DDN131086 CTR131086 CJV131086 BZZ131086 BQD131086 BGH131086 AWL131086 AMP131086 ACT131086 SX131086 JB131086 WVN65550 WLR65550 WBV65550 VRZ65550 VID65550 UYH65550 UOL65550 UEP65550 TUT65550 TKX65550 TBB65550 SRF65550 SHJ65550 RXN65550 RNR65550 RDV65550 QTZ65550 QKD65550 QAH65550 PQL65550 PGP65550 OWT65550 OMX65550 ODB65550 NTF65550 NJJ65550 MZN65550 MPR65550 MFV65550 LVZ65550 LMD65550 LCH65550 KSL65550 KIP65550 JYT65550 JOX65550 JFB65550 IVF65550 ILJ65550 IBN65550 HRR65550 HHV65550 GXZ65550 GOD65550 GEH65550 FUL65550 FKP65550 FAT65550 EQX65550 EHB65550 DXF65550 DNJ65550 DDN65550 CTR65550 CJV65550 BZZ65550 BQD65550 BGH65550 AWL65550 AMP65550 ACT65550 SX65550 JB65550 WVN7 WLR7 WBV7 VRZ7 VID7 UYH7 UOL7 UEP7 TUT7 TKX7 TBB7 SRF7 SHJ7 RXN7 RNR7 RDV7 QTZ7 QKD7 QAH7 PQL7 PGP7 OWT7 OMX7 ODB7 NTF7 NJJ7 MZN7 MPR7 MFV7 LVZ7 LMD7 LCH7 KSL7 KIP7 JYT7 JOX7 JFB7 IVF7 ILJ7 IBN7 HRR7 HHV7 GXZ7 GOD7 GEH7 FUL7 FKP7 FAT7 EQX7 EHB7 DXF7 DNJ7 DDN7 CTR7 CJV7 BZZ7 BQD7 BGH7 AWL7 AMP7 ACT7 SX7 JB7 IT7 WVF983054 WLJ983054 WBN983054 VRR983054 VHV983054 UXZ983054 UOD983054 UEH983054 TUL983054 TKP983054 TAT983054 SQX983054 SHB983054 RXF983054 RNJ983054 RDN983054 QTR983054 QJV983054 PZZ983054 PQD983054 PGH983054 OWL983054 OMP983054 OCT983054 NSX983054 NJB983054 MZF983054 MPJ983054 MFN983054 LVR983054 LLV983054 LBZ983054 KSD983054 KIH983054 JYL983054 JOP983054 JET983054 IUX983054 ILB983054 IBF983054 HRJ983054 HHN983054 GXR983054 GNV983054 GDZ983054 FUD983054 FKH983054 FAL983054 EQP983054 EGT983054 DWX983054 DNB983054 DDF983054 CTJ983054 CJN983054 BZR983054 BPV983054 BFZ983054 AWD983054 AMH983054 ACL983054 SP983054 IT983054 WVF917518 WLJ917518 WBN917518 VRR917518 VHV917518 UXZ917518 UOD917518 UEH917518 TUL917518 TKP917518 TAT917518 SQX917518 SHB917518 RXF917518 RNJ917518 RDN917518 QTR917518 QJV917518 PZZ917518 PQD917518 PGH917518 OWL917518 OMP917518 OCT917518 NSX917518 NJB917518 MZF917518 MPJ917518 MFN917518 LVR917518 LLV917518 LBZ917518 KSD917518 KIH917518 JYL917518 JOP917518 JET917518 IUX917518 ILB917518 IBF917518 HRJ917518 HHN917518 GXR917518 GNV917518 GDZ917518 FUD917518 FKH917518 FAL917518 EQP917518 EGT917518 DWX917518 DNB917518 DDF917518 CTJ917518 CJN917518 BZR917518 BPV917518 BFZ917518 AWD917518 AMH917518 ACL917518 SP917518 IT917518 WVF851982 WLJ851982 WBN851982 VRR851982 VHV851982 UXZ851982 UOD851982 UEH851982 TUL851982 TKP851982 TAT851982 SQX851982 SHB851982 RXF851982 RNJ851982 RDN851982 QTR851982 QJV851982 PZZ851982 PQD851982 PGH851982 OWL851982 OMP851982 OCT851982 NSX851982 NJB851982 MZF851982 MPJ851982 MFN851982 LVR851982 LLV851982 LBZ851982 KSD851982 KIH851982 JYL851982 JOP851982 JET851982 IUX851982 ILB851982 IBF851982 HRJ851982 HHN851982 GXR851982 GNV851982 GDZ851982 FUD851982 FKH851982 FAL851982 EQP851982 EGT851982 DWX851982 DNB851982 DDF851982 CTJ851982 CJN851982 BZR851982 BPV851982 BFZ851982 AWD851982 AMH851982 ACL851982 SP851982 IT851982 WVF786446 WLJ786446 WBN786446 VRR786446 VHV786446 UXZ786446 UOD786446 UEH786446 TUL786446 TKP786446 TAT786446 SQX786446 SHB786446 RXF786446 RNJ786446 RDN786446 QTR786446 QJV786446 PZZ786446 PQD786446 PGH786446 OWL786446 OMP786446 OCT786446 NSX786446 NJB786446 MZF786446 MPJ786446 MFN786446 LVR786446 LLV786446 LBZ786446 KSD786446 KIH786446 JYL786446 JOP786446 JET786446 IUX786446 ILB786446 IBF786446 HRJ786446 HHN786446 GXR786446 GNV786446 GDZ786446 FUD786446 FKH786446 FAL786446 EQP786446 EGT786446 DWX786446 DNB786446 DDF786446 CTJ786446 CJN786446 BZR786446 BPV786446 BFZ786446 AWD786446 AMH786446 ACL786446 SP786446 IT786446 WVF720910 WLJ720910 WBN720910 VRR720910 VHV720910 UXZ720910 UOD720910 UEH720910 TUL720910 TKP720910 TAT720910 SQX720910 SHB720910 RXF720910 RNJ720910 RDN720910 QTR720910 QJV720910 PZZ720910 PQD720910 PGH720910 OWL720910 OMP720910 OCT720910 NSX720910 NJB720910 MZF720910 MPJ720910 MFN720910 LVR720910 LLV720910 LBZ720910 KSD720910 KIH720910 JYL720910 JOP720910 JET720910 IUX720910 ILB720910 IBF720910 HRJ720910 HHN720910 GXR720910 GNV720910 GDZ720910 FUD720910 FKH720910 FAL720910 EQP720910 EGT720910 DWX720910 DNB720910 DDF720910 CTJ720910 CJN720910 BZR720910 BPV720910 BFZ720910 AWD720910 AMH720910 ACL720910 SP720910 IT720910 WVF655374 WLJ655374 WBN655374 VRR655374 VHV655374 UXZ655374 UOD655374 UEH655374 TUL655374 TKP655374 TAT655374 SQX655374 SHB655374 RXF655374 RNJ655374 RDN655374 QTR655374 QJV655374 PZZ655374 PQD655374 PGH655374 OWL655374 OMP655374 OCT655374 NSX655374 NJB655374 MZF655374 MPJ655374 MFN655374 LVR655374 LLV655374 LBZ655374 KSD655374 KIH655374 JYL655374 JOP655374 JET655374 IUX655374 ILB655374 IBF655374 HRJ655374 HHN655374 GXR655374 GNV655374 GDZ655374 FUD655374 FKH655374 FAL655374 EQP655374 EGT655374 DWX655374 DNB655374 DDF655374 CTJ655374 CJN655374 BZR655374 BPV655374 BFZ655374 AWD655374 AMH655374 ACL655374 SP655374 IT655374 WVF589838 WLJ589838 WBN589838 VRR589838 VHV589838 UXZ589838 UOD589838 UEH589838 TUL589838 TKP589838 TAT589838 SQX589838 SHB589838 RXF589838 RNJ589838 RDN589838 QTR589838 QJV589838 PZZ589838 PQD589838 PGH589838 OWL589838 OMP589838 OCT589838 NSX589838 NJB589838 MZF589838 MPJ589838 MFN589838 LVR589838 LLV589838 LBZ589838 KSD589838 KIH589838 JYL589838 JOP589838 JET589838 IUX589838 ILB589838 IBF589838 HRJ589838 HHN589838 GXR589838 GNV589838 GDZ589838 FUD589838 FKH589838 FAL589838 EQP589838 EGT589838 DWX589838 DNB589838 DDF589838 CTJ589838 CJN589838 BZR589838 BPV589838 BFZ589838 AWD589838 AMH589838 ACL589838 SP589838 IT589838 WVF524302 WLJ524302 WBN524302 VRR524302 VHV524302 UXZ524302 UOD524302 UEH524302 TUL524302 TKP524302 TAT524302 SQX524302 SHB524302 RXF524302 RNJ524302 RDN524302 QTR524302 QJV524302 PZZ524302 PQD524302 PGH524302 OWL524302 OMP524302 OCT524302 NSX524302 NJB524302 MZF524302 MPJ524302 MFN524302 LVR524302 LLV524302 LBZ524302 KSD524302 KIH524302 JYL524302 JOP524302 JET524302 IUX524302 ILB524302 IBF524302 HRJ524302 HHN524302 GXR524302 GNV524302 GDZ524302 FUD524302 FKH524302 FAL524302 EQP524302 EGT524302 DWX524302 DNB524302 DDF524302 CTJ524302 CJN524302 BZR524302 BPV524302 BFZ524302 AWD524302 AMH524302 ACL524302 SP524302 IT524302 WVF458766 WLJ458766 WBN458766 VRR458766 VHV458766 UXZ458766 UOD458766 UEH458766 TUL458766 TKP458766 TAT458766 SQX458766 SHB458766 RXF458766 RNJ458766 RDN458766 QTR458766 QJV458766 PZZ458766 PQD458766 PGH458766 OWL458766 OMP458766 OCT458766 NSX458766 NJB458766 MZF458766 MPJ458766 MFN458766 LVR458766 LLV458766 LBZ458766 KSD458766 KIH458766 JYL458766 JOP458766 JET458766 IUX458766 ILB458766 IBF458766 HRJ458766 HHN458766 GXR458766 GNV458766 GDZ458766 FUD458766 FKH458766 FAL458766 EQP458766 EGT458766 DWX458766 DNB458766 DDF458766 CTJ458766 CJN458766 BZR458766 BPV458766 BFZ458766 AWD458766 AMH458766 ACL458766 SP458766 IT458766 WVF393230 WLJ393230 WBN393230 VRR393230 VHV393230 UXZ393230 UOD393230 UEH393230 TUL393230 TKP393230 TAT393230 SQX393230 SHB393230 RXF393230 RNJ393230 RDN393230 QTR393230 QJV393230 PZZ393230 PQD393230 PGH393230 OWL393230 OMP393230 OCT393230 NSX393230 NJB393230 MZF393230 MPJ393230 MFN393230 LVR393230 LLV393230 LBZ393230 KSD393230 KIH393230 JYL393230 JOP393230 JET393230 IUX393230 ILB393230 IBF393230 HRJ393230 HHN393230 GXR393230 GNV393230 GDZ393230 FUD393230 FKH393230 FAL393230 EQP393230 EGT393230 DWX393230 DNB393230 DDF393230 CTJ393230 CJN393230 BZR393230 BPV393230 BFZ393230 AWD393230 AMH393230 ACL393230 SP393230 IT393230 WVF327694 WLJ327694 WBN327694 VRR327694 VHV327694 UXZ327694 UOD327694 UEH327694 TUL327694 TKP327694 TAT327694 SQX327694 SHB327694 RXF327694 RNJ327694 RDN327694 QTR327694 QJV327694 PZZ327694 PQD327694 PGH327694 OWL327694 OMP327694 OCT327694 NSX327694 NJB327694 MZF327694 MPJ327694 MFN327694 LVR327694 LLV327694 LBZ327694 KSD327694 KIH327694 JYL327694 JOP327694 JET327694 IUX327694 ILB327694 IBF327694 HRJ327694 HHN327694 GXR327694 GNV327694 GDZ327694 FUD327694 FKH327694 FAL327694 EQP327694 EGT327694 DWX327694 DNB327694 DDF327694 CTJ327694 CJN327694 BZR327694 BPV327694 BFZ327694 AWD327694 AMH327694 ACL327694 SP327694 IT327694 WVF262158 WLJ262158 WBN262158 VRR262158 VHV262158 UXZ262158 UOD262158 UEH262158 TUL262158 TKP262158 TAT262158 SQX262158 SHB262158 RXF262158 RNJ262158 RDN262158 QTR262158 QJV262158 PZZ262158 PQD262158 PGH262158 OWL262158 OMP262158 OCT262158 NSX262158 NJB262158 MZF262158 MPJ262158 MFN262158 LVR262158 LLV262158 LBZ262158 KSD262158 KIH262158 JYL262158 JOP262158 JET262158 IUX262158 ILB262158 IBF262158 HRJ262158 HHN262158 GXR262158 GNV262158 GDZ262158 FUD262158 FKH262158 FAL262158 EQP262158 EGT262158 DWX262158 DNB262158 DDF262158 CTJ262158 CJN262158 BZR262158 BPV262158 BFZ262158 AWD262158 AMH262158 ACL262158 SP262158 IT262158 WVF196622 WLJ196622 WBN196622 VRR196622 VHV196622 UXZ196622 UOD196622 UEH196622 TUL196622 TKP196622 TAT196622 SQX196622 SHB196622 RXF196622 RNJ196622 RDN196622 QTR196622 QJV196622 PZZ196622 PQD196622 PGH196622 OWL196622 OMP196622 OCT196622 NSX196622 NJB196622 MZF196622 MPJ196622 MFN196622 LVR196622 LLV196622 LBZ196622 KSD196622 KIH196622 JYL196622 JOP196622 JET196622 IUX196622 ILB196622 IBF196622 HRJ196622 HHN196622 GXR196622 GNV196622 GDZ196622 FUD196622 FKH196622 FAL196622 EQP196622 EGT196622 DWX196622 DNB196622 DDF196622 CTJ196622 CJN196622 BZR196622 BPV196622 BFZ196622 AWD196622 AMH196622 ACL196622 SP196622 IT196622 WVF131086 WLJ131086 WBN131086 VRR131086 VHV131086 UXZ131086 UOD131086 UEH131086 TUL131086 TKP131086 TAT131086 SQX131086 SHB131086 RXF131086 RNJ131086 RDN131086 QTR131086 QJV131086 PZZ131086 PQD131086 PGH131086 OWL131086 OMP131086 OCT131086 NSX131086 NJB131086 MZF131086 MPJ131086 MFN131086 LVR131086 LLV131086 LBZ131086 KSD131086 KIH131086 JYL131086 JOP131086 JET131086 IUX131086 ILB131086 IBF131086 HRJ131086 HHN131086 GXR131086 GNV131086 GDZ131086 FUD131086 FKH131086 FAL131086 EQP131086 EGT131086 DWX131086 DNB131086 DDF131086 CTJ131086 CJN131086 BZR131086 BPV131086 BFZ131086 AWD131086 AMH131086 ACL131086 SP131086 IT131086 WVF65550 WLJ65550 WBN65550 VRR65550 VHV65550 UXZ65550 UOD65550 UEH65550 TUL65550 TKP65550 TAT65550 SQX65550 SHB65550 RXF65550 RNJ65550 RDN65550 QTR65550 QJV65550 PZZ65550 PQD65550 PGH65550 OWL65550 OMP65550 OCT65550 NSX65550 NJB65550 MZF65550 MPJ65550 MFN65550 LVR65550 LLV65550 LBZ65550 KSD65550 KIH65550 JYL65550 JOP65550 JET65550 IUX65550 ILB65550 IBF65550 HRJ65550 HHN65550 GXR65550 GNV65550 GDZ65550 FUD65550 FKH65550 FAL65550 EQP65550 EGT65550 DWX65550 DNB65550 DDF65550 CTJ65550 CJN65550 BZR65550 BPV65550 BFZ65550 AWD65550 AMH65550 ACL65550 SP65550 WVF7 WLJ7 WBN7 VRR7 VHV7 UXZ7 UOD7 UEH7 TUL7 TKP7 TAT7 SQX7 SHB7 RXF7 RNJ7 RDN7 QTR7 QJV7 PZZ7 PQD7 PGH7 OWL7 OMP7 OCT7 NSX7 NJB7 MZF7 MPJ7 MFN7 LVR7 LLV7 LBZ7 KSD7 KIH7 JYL7 JOP7 JET7 IUX7 ILB7 IBF7 HRJ7 HHN7 GXR7 GNV7 GDZ7 FUD7 FKH7 FAL7 EQP7 EGT7 DWX7 DNB7 DDF7 CTJ7 CJN7 BZR7 BPV7 BFZ7 AWD7">
      <formula1>$C$42:$C$43</formula1>
    </dataValidation>
    <dataValidation type="list" showInputMessage="1" showErrorMessage="1" sqref="IT65540 SP65540 ACL65540 AMH65540 AWD65540 BFZ65540 BPV65540 BZR65540 CJN65540 CTJ65540 DDF65540 DNB65540 DWX65540 EGT65540 EQP65540 FAL65540 FKH65540 FUD65540 GDZ65540 GNV65540 GXR65540 HHN65540 HRJ65540 IBF65540 ILB65540 IUX65540 JET65540 JOP65540 JYL65540 KIH65540 KSD65540 LBZ65540 LLV65540 LVR65540 MFN65540 MPJ65540 MZF65540 NJB65540 NSX65540 OCT65540 OMP65540 OWL65540 PGH65540 PQD65540 PZZ65540 QJV65540 QTR65540 RDN65540 RNJ65540 RXF65540 SHB65540 SQX65540 TAT65540 TKP65540 TUL65540 UEH65540 UOD65540 UXZ65540 VHV65540 VRR65540 WBN65540 WLJ65540 WVF65540 C131081 IT131076 SP131076 ACL131076 AMH131076 AWD131076 BFZ131076 BPV131076 BZR131076 CJN131076 CTJ131076 DDF131076 DNB131076 DWX131076 EGT131076 EQP131076 FAL131076 FKH131076 FUD131076 GDZ131076 GNV131076 GXR131076 HHN131076 HRJ131076 IBF131076 ILB131076 IUX131076 JET131076 JOP131076 JYL131076 KIH131076 KSD131076 LBZ131076 LLV131076 LVR131076 MFN131076 MPJ131076 MZF131076 NJB131076 NSX131076 OCT131076 OMP131076 OWL131076 PGH131076 PQD131076 PZZ131076 QJV131076 QTR131076 RDN131076 RNJ131076 RXF131076 SHB131076 SQX131076 TAT131076 TKP131076 TUL131076 UEH131076 UOD131076 UXZ131076 VHV131076 VRR131076 WBN131076 WLJ131076 WVF131076 C196617 IT196612 SP196612 ACL196612 AMH196612 AWD196612 BFZ196612 BPV196612 BZR196612 CJN196612 CTJ196612 DDF196612 DNB196612 DWX196612 EGT196612 EQP196612 FAL196612 FKH196612 FUD196612 GDZ196612 GNV196612 GXR196612 HHN196612 HRJ196612 IBF196612 ILB196612 IUX196612 JET196612 JOP196612 JYL196612 KIH196612 KSD196612 LBZ196612 LLV196612 LVR196612 MFN196612 MPJ196612 MZF196612 NJB196612 NSX196612 OCT196612 OMP196612 OWL196612 PGH196612 PQD196612 PZZ196612 QJV196612 QTR196612 RDN196612 RNJ196612 RXF196612 SHB196612 SQX196612 TAT196612 TKP196612 TUL196612 UEH196612 UOD196612 UXZ196612 VHV196612 VRR196612 WBN196612 WLJ196612 WVF196612 C262153 IT262148 SP262148 ACL262148 AMH262148 AWD262148 BFZ262148 BPV262148 BZR262148 CJN262148 CTJ262148 DDF262148 DNB262148 DWX262148 EGT262148 EQP262148 FAL262148 FKH262148 FUD262148 GDZ262148 GNV262148 GXR262148 HHN262148 HRJ262148 IBF262148 ILB262148 IUX262148 JET262148 JOP262148 JYL262148 KIH262148 KSD262148 LBZ262148 LLV262148 LVR262148 MFN262148 MPJ262148 MZF262148 NJB262148 NSX262148 OCT262148 OMP262148 OWL262148 PGH262148 PQD262148 PZZ262148 QJV262148 QTR262148 RDN262148 RNJ262148 RXF262148 SHB262148 SQX262148 TAT262148 TKP262148 TUL262148 UEH262148 UOD262148 UXZ262148 VHV262148 VRR262148 WBN262148 WLJ262148 WVF262148 C327689 IT327684 SP327684 ACL327684 AMH327684 AWD327684 BFZ327684 BPV327684 BZR327684 CJN327684 CTJ327684 DDF327684 DNB327684 DWX327684 EGT327684 EQP327684 FAL327684 FKH327684 FUD327684 GDZ327684 GNV327684 GXR327684 HHN327684 HRJ327684 IBF327684 ILB327684 IUX327684 JET327684 JOP327684 JYL327684 KIH327684 KSD327684 LBZ327684 LLV327684 LVR327684 MFN327684 MPJ327684 MZF327684 NJB327684 NSX327684 OCT327684 OMP327684 OWL327684 PGH327684 PQD327684 PZZ327684 QJV327684 QTR327684 RDN327684 RNJ327684 RXF327684 SHB327684 SQX327684 TAT327684 TKP327684 TUL327684 UEH327684 UOD327684 UXZ327684 VHV327684 VRR327684 WBN327684 WLJ327684 WVF327684 C393225 IT393220 SP393220 ACL393220 AMH393220 AWD393220 BFZ393220 BPV393220 BZR393220 CJN393220 CTJ393220 DDF393220 DNB393220 DWX393220 EGT393220 EQP393220 FAL393220 FKH393220 FUD393220 GDZ393220 GNV393220 GXR393220 HHN393220 HRJ393220 IBF393220 ILB393220 IUX393220 JET393220 JOP393220 JYL393220 KIH393220 KSD393220 LBZ393220 LLV393220 LVR393220 MFN393220 MPJ393220 MZF393220 NJB393220 NSX393220 OCT393220 OMP393220 OWL393220 PGH393220 PQD393220 PZZ393220 QJV393220 QTR393220 RDN393220 RNJ393220 RXF393220 SHB393220 SQX393220 TAT393220 TKP393220 TUL393220 UEH393220 UOD393220 UXZ393220 VHV393220 VRR393220 WBN393220 WLJ393220 WVF393220 C458761 IT458756 SP458756 ACL458756 AMH458756 AWD458756 BFZ458756 BPV458756 BZR458756 CJN458756 CTJ458756 DDF458756 DNB458756 DWX458756 EGT458756 EQP458756 FAL458756 FKH458756 FUD458756 GDZ458756 GNV458756 GXR458756 HHN458756 HRJ458756 IBF458756 ILB458756 IUX458756 JET458756 JOP458756 JYL458756 KIH458756 KSD458756 LBZ458756 LLV458756 LVR458756 MFN458756 MPJ458756 MZF458756 NJB458756 NSX458756 OCT458756 OMP458756 OWL458756 PGH458756 PQD458756 PZZ458756 QJV458756 QTR458756 RDN458756 RNJ458756 RXF458756 SHB458756 SQX458756 TAT458756 TKP458756 TUL458756 UEH458756 UOD458756 UXZ458756 VHV458756 VRR458756 WBN458756 WLJ458756 WVF458756 C524297 IT524292 SP524292 ACL524292 AMH524292 AWD524292 BFZ524292 BPV524292 BZR524292 CJN524292 CTJ524292 DDF524292 DNB524292 DWX524292 EGT524292 EQP524292 FAL524292 FKH524292 FUD524292 GDZ524292 GNV524292 GXR524292 HHN524292 HRJ524292 IBF524292 ILB524292 IUX524292 JET524292 JOP524292 JYL524292 KIH524292 KSD524292 LBZ524292 LLV524292 LVR524292 MFN524292 MPJ524292 MZF524292 NJB524292 NSX524292 OCT524292 OMP524292 OWL524292 PGH524292 PQD524292 PZZ524292 QJV524292 QTR524292 RDN524292 RNJ524292 RXF524292 SHB524292 SQX524292 TAT524292 TKP524292 TUL524292 UEH524292 UOD524292 UXZ524292 VHV524292 VRR524292 WBN524292 WLJ524292 WVF524292 C589833 IT589828 SP589828 ACL589828 AMH589828 AWD589828 BFZ589828 BPV589828 BZR589828 CJN589828 CTJ589828 DDF589828 DNB589828 DWX589828 EGT589828 EQP589828 FAL589828 FKH589828 FUD589828 GDZ589828 GNV589828 GXR589828 HHN589828 HRJ589828 IBF589828 ILB589828 IUX589828 JET589828 JOP589828 JYL589828 KIH589828 KSD589828 LBZ589828 LLV589828 LVR589828 MFN589828 MPJ589828 MZF589828 NJB589828 NSX589828 OCT589828 OMP589828 OWL589828 PGH589828 PQD589828 PZZ589828 QJV589828 QTR589828 RDN589828 RNJ589828 RXF589828 SHB589828 SQX589828 TAT589828 TKP589828 TUL589828 UEH589828 UOD589828 UXZ589828 VHV589828 VRR589828 WBN589828 WLJ589828 WVF589828 C655369 IT655364 SP655364 ACL655364 AMH655364 AWD655364 BFZ655364 BPV655364 BZR655364 CJN655364 CTJ655364 DDF655364 DNB655364 DWX655364 EGT655364 EQP655364 FAL655364 FKH655364 FUD655364 GDZ655364 GNV655364 GXR655364 HHN655364 HRJ655364 IBF655364 ILB655364 IUX655364 JET655364 JOP655364 JYL655364 KIH655364 KSD655364 LBZ655364 LLV655364 LVR655364 MFN655364 MPJ655364 MZF655364 NJB655364 NSX655364 OCT655364 OMP655364 OWL655364 PGH655364 PQD655364 PZZ655364 QJV655364 QTR655364 RDN655364 RNJ655364 RXF655364 SHB655364 SQX655364 TAT655364 TKP655364 TUL655364 UEH655364 UOD655364 UXZ655364 VHV655364 VRR655364 WBN655364 WLJ655364 WVF655364 C720905 IT720900 SP720900 ACL720900 AMH720900 AWD720900 BFZ720900 BPV720900 BZR720900 CJN720900 CTJ720900 DDF720900 DNB720900 DWX720900 EGT720900 EQP720900 FAL720900 FKH720900 FUD720900 GDZ720900 GNV720900 GXR720900 HHN720900 HRJ720900 IBF720900 ILB720900 IUX720900 JET720900 JOP720900 JYL720900 KIH720900 KSD720900 LBZ720900 LLV720900 LVR720900 MFN720900 MPJ720900 MZF720900 NJB720900 NSX720900 OCT720900 OMP720900 OWL720900 PGH720900 PQD720900 PZZ720900 QJV720900 QTR720900 RDN720900 RNJ720900 RXF720900 SHB720900 SQX720900 TAT720900 TKP720900 TUL720900 UEH720900 UOD720900 UXZ720900 VHV720900 VRR720900 WBN720900 WLJ720900 WVF720900 C786441 IT786436 SP786436 ACL786436 AMH786436 AWD786436 BFZ786436 BPV786436 BZR786436 CJN786436 CTJ786436 DDF786436 DNB786436 DWX786436 EGT786436 EQP786436 FAL786436 FKH786436 FUD786436 GDZ786436 GNV786436 GXR786436 HHN786436 HRJ786436 IBF786436 ILB786436 IUX786436 JET786436 JOP786436 JYL786436 KIH786436 KSD786436 LBZ786436 LLV786436 LVR786436 MFN786436 MPJ786436 MZF786436 NJB786436 NSX786436 OCT786436 OMP786436 OWL786436 PGH786436 PQD786436 PZZ786436 QJV786436 QTR786436 RDN786436 RNJ786436 RXF786436 SHB786436 SQX786436 TAT786436 TKP786436 TUL786436 UEH786436 UOD786436 UXZ786436 VHV786436 VRR786436 WBN786436 WLJ786436 WVF786436 C851977 IT851972 SP851972 ACL851972 AMH851972 AWD851972 BFZ851972 BPV851972 BZR851972 CJN851972 CTJ851972 DDF851972 DNB851972 DWX851972 EGT851972 EQP851972 FAL851972 FKH851972 FUD851972 GDZ851972 GNV851972 GXR851972 HHN851972 HRJ851972 IBF851972 ILB851972 IUX851972 JET851972 JOP851972 JYL851972 KIH851972 KSD851972 LBZ851972 LLV851972 LVR851972 MFN851972 MPJ851972 MZF851972 NJB851972 NSX851972 OCT851972 OMP851972 OWL851972 PGH851972 PQD851972 PZZ851972 QJV851972 QTR851972 RDN851972 RNJ851972 RXF851972 SHB851972 SQX851972 TAT851972 TKP851972 TUL851972 UEH851972 UOD851972 UXZ851972 VHV851972 VRR851972 WBN851972 WLJ851972 WVF851972 C917513 IT917508 SP917508 ACL917508 AMH917508 AWD917508 BFZ917508 BPV917508 BZR917508 CJN917508 CTJ917508 DDF917508 DNB917508 DWX917508 EGT917508 EQP917508 FAL917508 FKH917508 FUD917508 GDZ917508 GNV917508 GXR917508 HHN917508 HRJ917508 IBF917508 ILB917508 IUX917508 JET917508 JOP917508 JYL917508 KIH917508 KSD917508 LBZ917508 LLV917508 LVR917508 MFN917508 MPJ917508 MZF917508 NJB917508 NSX917508 OCT917508 OMP917508 OWL917508 PGH917508 PQD917508 PZZ917508 QJV917508 QTR917508 RDN917508 RNJ917508 RXF917508 SHB917508 SQX917508 TAT917508 TKP917508 TUL917508 UEH917508 UOD917508 UXZ917508 VHV917508 VRR917508 WBN917508 WLJ917508 WVF917508 C983049 IT983044 SP983044 ACL983044 AMH983044 AWD983044 BFZ983044 BPV983044 BZR983044 CJN983044 CTJ983044 DDF983044 DNB983044 DWX983044 EGT983044 EQP983044 FAL983044 FKH983044 FUD983044 GDZ983044 GNV983044 GXR983044 HHN983044 HRJ983044 IBF983044 ILB983044 IUX983044 JET983044 JOP983044 JYL983044 KIH983044 KSD983044 LBZ983044 LLV983044 LVR983044 MFN983044 MPJ983044 MZF983044 NJB983044 NSX983044 OCT983044 OMP983044 OWL983044 PGH983044 PQD983044 PZZ983044 QJV983044 QTR983044 RDN983044 RNJ983044 RXF983044 SHB983044 SQX983044 TAT983044 TKP983044 TUL983044 UEH983044 UOD983044 UXZ983044 VHV983044 VRR983044 WBN983044 WLJ983044 WVF983044 C65547 IT65542 SP65542 ACL65542 AMH65542 AWD65542 BFZ65542 BPV65542 BZR65542 CJN65542 CTJ65542 DDF65542 DNB65542 DWX65542 EGT65542 EQP65542 FAL65542 FKH65542 FUD65542 GDZ65542 GNV65542 GXR65542 HHN65542 HRJ65542 IBF65542 ILB65542 IUX65542 JET65542 JOP65542 JYL65542 KIH65542 KSD65542 LBZ65542 LLV65542 LVR65542 MFN65542 MPJ65542 MZF65542 NJB65542 NSX65542 OCT65542 OMP65542 OWL65542 PGH65542 PQD65542 PZZ65542 QJV65542 QTR65542 RDN65542 RNJ65542 RXF65542 SHB65542 SQX65542 TAT65542 TKP65542 TUL65542 UEH65542 UOD65542 UXZ65542 VHV65542 VRR65542 WBN65542 WLJ65542 WVF65542 C131083 IT131078 SP131078 ACL131078 AMH131078 AWD131078 BFZ131078 BPV131078 BZR131078 CJN131078 CTJ131078 DDF131078 DNB131078 DWX131078 EGT131078 EQP131078 FAL131078 FKH131078 FUD131078 GDZ131078 GNV131078 GXR131078 HHN131078 HRJ131078 IBF131078 ILB131078 IUX131078 JET131078 JOP131078 JYL131078 KIH131078 KSD131078 LBZ131078 LLV131078 LVR131078 MFN131078 MPJ131078 MZF131078 NJB131078 NSX131078 OCT131078 OMP131078 OWL131078 PGH131078 PQD131078 PZZ131078 QJV131078 QTR131078 RDN131078 RNJ131078 RXF131078 SHB131078 SQX131078 TAT131078 TKP131078 TUL131078 UEH131078 UOD131078 UXZ131078 VHV131078 VRR131078 WBN131078 WLJ131078 WVF131078 C196619 IT196614 SP196614 ACL196614 AMH196614 AWD196614 BFZ196614 BPV196614 BZR196614 CJN196614 CTJ196614 DDF196614 DNB196614 DWX196614 EGT196614 EQP196614 FAL196614 FKH196614 FUD196614 GDZ196614 GNV196614 GXR196614 HHN196614 HRJ196614 IBF196614 ILB196614 IUX196614 JET196614 JOP196614 JYL196614 KIH196614 KSD196614 LBZ196614 LLV196614 LVR196614 MFN196614 MPJ196614 MZF196614 NJB196614 NSX196614 OCT196614 OMP196614 OWL196614 PGH196614 PQD196614 PZZ196614 QJV196614 QTR196614 RDN196614 RNJ196614 RXF196614 SHB196614 SQX196614 TAT196614 TKP196614 TUL196614 UEH196614 UOD196614 UXZ196614 VHV196614 VRR196614 WBN196614 WLJ196614 WVF196614 C262155 IT262150 SP262150 ACL262150 AMH262150 AWD262150 BFZ262150 BPV262150 BZR262150 CJN262150 CTJ262150 DDF262150 DNB262150 DWX262150 EGT262150 EQP262150 FAL262150 FKH262150 FUD262150 GDZ262150 GNV262150 GXR262150 HHN262150 HRJ262150 IBF262150 ILB262150 IUX262150 JET262150 JOP262150 JYL262150 KIH262150 KSD262150 LBZ262150 LLV262150 LVR262150 MFN262150 MPJ262150 MZF262150 NJB262150 NSX262150 OCT262150 OMP262150 OWL262150 PGH262150 PQD262150 PZZ262150 QJV262150 QTR262150 RDN262150 RNJ262150 RXF262150 SHB262150 SQX262150 TAT262150 TKP262150 TUL262150 UEH262150 UOD262150 UXZ262150 VHV262150 VRR262150 WBN262150 WLJ262150 WVF262150 C327691 IT327686 SP327686 ACL327686 AMH327686 AWD327686 BFZ327686 BPV327686 BZR327686 CJN327686 CTJ327686 DDF327686 DNB327686 DWX327686 EGT327686 EQP327686 FAL327686 FKH327686 FUD327686 GDZ327686 GNV327686 GXR327686 HHN327686 HRJ327686 IBF327686 ILB327686 IUX327686 JET327686 JOP327686 JYL327686 KIH327686 KSD327686 LBZ327686 LLV327686 LVR327686 MFN327686 MPJ327686 MZF327686 NJB327686 NSX327686 OCT327686 OMP327686 OWL327686 PGH327686 PQD327686 PZZ327686 QJV327686 QTR327686 RDN327686 RNJ327686 RXF327686 SHB327686 SQX327686 TAT327686 TKP327686 TUL327686 UEH327686 UOD327686 UXZ327686 VHV327686 VRR327686 WBN327686 WLJ327686 WVF327686 C393227 IT393222 SP393222 ACL393222 AMH393222 AWD393222 BFZ393222 BPV393222 BZR393222 CJN393222 CTJ393222 DDF393222 DNB393222 DWX393222 EGT393222 EQP393222 FAL393222 FKH393222 FUD393222 GDZ393222 GNV393222 GXR393222 HHN393222 HRJ393222 IBF393222 ILB393222 IUX393222 JET393222 JOP393222 JYL393222 KIH393222 KSD393222 LBZ393222 LLV393222 LVR393222 MFN393222 MPJ393222 MZF393222 NJB393222 NSX393222 OCT393222 OMP393222 OWL393222 PGH393222 PQD393222 PZZ393222 QJV393222 QTR393222 RDN393222 RNJ393222 RXF393222 SHB393222 SQX393222 TAT393222 TKP393222 TUL393222 UEH393222 UOD393222 UXZ393222 VHV393222 VRR393222 WBN393222 WLJ393222 WVF393222 C458763 IT458758 SP458758 ACL458758 AMH458758 AWD458758 BFZ458758 BPV458758 BZR458758 CJN458758 CTJ458758 DDF458758 DNB458758 DWX458758 EGT458758 EQP458758 FAL458758 FKH458758 FUD458758 GDZ458758 GNV458758 GXR458758 HHN458758 HRJ458758 IBF458758 ILB458758 IUX458758 JET458758 JOP458758 JYL458758 KIH458758 KSD458758 LBZ458758 LLV458758 LVR458758 MFN458758 MPJ458758 MZF458758 NJB458758 NSX458758 OCT458758 OMP458758 OWL458758 PGH458758 PQD458758 PZZ458758 QJV458758 QTR458758 RDN458758 RNJ458758 RXF458758 SHB458758 SQX458758 TAT458758 TKP458758 TUL458758 UEH458758 UOD458758 UXZ458758 VHV458758 VRR458758 WBN458758 WLJ458758 WVF458758 C524299 IT524294 SP524294 ACL524294 AMH524294 AWD524294 BFZ524294 BPV524294 BZR524294 CJN524294 CTJ524294 DDF524294 DNB524294 DWX524294 EGT524294 EQP524294 FAL524294 FKH524294 FUD524294 GDZ524294 GNV524294 GXR524294 HHN524294 HRJ524294 IBF524294 ILB524294 IUX524294 JET524294 JOP524294 JYL524294 KIH524294 KSD524294 LBZ524294 LLV524294 LVR524294 MFN524294 MPJ524294 MZF524294 NJB524294 NSX524294 OCT524294 OMP524294 OWL524294 PGH524294 PQD524294 PZZ524294 QJV524294 QTR524294 RDN524294 RNJ524294 RXF524294 SHB524294 SQX524294 TAT524294 TKP524294 TUL524294 UEH524294 UOD524294 UXZ524294 VHV524294 VRR524294 WBN524294 WLJ524294 WVF524294 C589835 IT589830 SP589830 ACL589830 AMH589830 AWD589830 BFZ589830 BPV589830 BZR589830 CJN589830 CTJ589830 DDF589830 DNB589830 DWX589830 EGT589830 EQP589830 FAL589830 FKH589830 FUD589830 GDZ589830 GNV589830 GXR589830 HHN589830 HRJ589830 IBF589830 ILB589830 IUX589830 JET589830 JOP589830 JYL589830 KIH589830 KSD589830 LBZ589830 LLV589830 LVR589830 MFN589830 MPJ589830 MZF589830 NJB589830 NSX589830 OCT589830 OMP589830 OWL589830 PGH589830 PQD589830 PZZ589830 QJV589830 QTR589830 RDN589830 RNJ589830 RXF589830 SHB589830 SQX589830 TAT589830 TKP589830 TUL589830 UEH589830 UOD589830 UXZ589830 VHV589830 VRR589830 WBN589830 WLJ589830 WVF589830 C655371 IT655366 SP655366 ACL655366 AMH655366 AWD655366 BFZ655366 BPV655366 BZR655366 CJN655366 CTJ655366 DDF655366 DNB655366 DWX655366 EGT655366 EQP655366 FAL655366 FKH655366 FUD655366 GDZ655366 GNV655366 GXR655366 HHN655366 HRJ655366 IBF655366 ILB655366 IUX655366 JET655366 JOP655366 JYL655366 KIH655366 KSD655366 LBZ655366 LLV655366 LVR655366 MFN655366 MPJ655366 MZF655366 NJB655366 NSX655366 OCT655366 OMP655366 OWL655366 PGH655366 PQD655366 PZZ655366 QJV655366 QTR655366 RDN655366 RNJ655366 RXF655366 SHB655366 SQX655366 TAT655366 TKP655366 TUL655366 UEH655366 UOD655366 UXZ655366 VHV655366 VRR655366 WBN655366 WLJ655366 WVF655366 C720907 IT720902 SP720902 ACL720902 AMH720902 AWD720902 BFZ720902 BPV720902 BZR720902 CJN720902 CTJ720902 DDF720902 DNB720902 DWX720902 EGT720902 EQP720902 FAL720902 FKH720902 FUD720902 GDZ720902 GNV720902 GXR720902 HHN720902 HRJ720902 IBF720902 ILB720902 IUX720902 JET720902 JOP720902 JYL720902 KIH720902 KSD720902 LBZ720902 LLV720902 LVR720902 MFN720902 MPJ720902 MZF720902 NJB720902 NSX720902 OCT720902 OMP720902 OWL720902 PGH720902 PQD720902 PZZ720902 QJV720902 QTR720902 RDN720902 RNJ720902 RXF720902 SHB720902 SQX720902 TAT720902 TKP720902 TUL720902 UEH720902 UOD720902 UXZ720902 VHV720902 VRR720902 WBN720902 WLJ720902 WVF720902 C786443 IT786438 SP786438 ACL786438 AMH786438 AWD786438 BFZ786438 BPV786438 BZR786438 CJN786438 CTJ786438 DDF786438 DNB786438 DWX786438 EGT786438 EQP786438 FAL786438 FKH786438 FUD786438 GDZ786438 GNV786438 GXR786438 HHN786438 HRJ786438 IBF786438 ILB786438 IUX786438 JET786438 JOP786438 JYL786438 KIH786438 KSD786438 LBZ786438 LLV786438 LVR786438 MFN786438 MPJ786438 MZF786438 NJB786438 NSX786438 OCT786438 OMP786438 OWL786438 PGH786438 PQD786438 PZZ786438 QJV786438 QTR786438 RDN786438 RNJ786438 RXF786438 SHB786438 SQX786438 TAT786438 TKP786438 TUL786438 UEH786438 UOD786438 UXZ786438 VHV786438 VRR786438 WBN786438 WLJ786438 WVF786438 C851979 IT851974 SP851974 ACL851974 AMH851974 AWD851974 BFZ851974 BPV851974 BZR851974 CJN851974 CTJ851974 DDF851974 DNB851974 DWX851974 EGT851974 EQP851974 FAL851974 FKH851974 FUD851974 GDZ851974 GNV851974 GXR851974 HHN851974 HRJ851974 IBF851974 ILB851974 IUX851974 JET851974 JOP851974 JYL851974 KIH851974 KSD851974 LBZ851974 LLV851974 LVR851974 MFN851974 MPJ851974 MZF851974 NJB851974 NSX851974 OCT851974 OMP851974 OWL851974 PGH851974 PQD851974 PZZ851974 QJV851974 QTR851974 RDN851974 RNJ851974 RXF851974 SHB851974 SQX851974 TAT851974 TKP851974 TUL851974 UEH851974 UOD851974 UXZ851974 VHV851974 VRR851974 WBN851974 WLJ851974 WVF851974 C917515 IT917510 SP917510 ACL917510 AMH917510 AWD917510 BFZ917510 BPV917510 BZR917510 CJN917510 CTJ917510 DDF917510 DNB917510 DWX917510 EGT917510 EQP917510 FAL917510 FKH917510 FUD917510 GDZ917510 GNV917510 GXR917510 HHN917510 HRJ917510 IBF917510 ILB917510 IUX917510 JET917510 JOP917510 JYL917510 KIH917510 KSD917510 LBZ917510 LLV917510 LVR917510 MFN917510 MPJ917510 MZF917510 NJB917510 NSX917510 OCT917510 OMP917510 OWL917510 PGH917510 PQD917510 PZZ917510 QJV917510 QTR917510 RDN917510 RNJ917510 RXF917510 SHB917510 SQX917510 TAT917510 TKP917510 TUL917510 UEH917510 UOD917510 UXZ917510 VHV917510 VRR917510 WBN917510 WLJ917510 WVF917510 C983051 IT983046 SP983046 ACL983046 AMH983046 AWD983046 BFZ983046 BPV983046 BZR983046 CJN983046 CTJ983046 DDF983046 DNB983046 DWX983046 EGT983046 EQP983046 FAL983046 FKH983046 FUD983046 GDZ983046 GNV983046 GXR983046 HHN983046 HRJ983046 IBF983046 ILB983046 IUX983046 JET983046 JOP983046 JYL983046 KIH983046 KSD983046 LBZ983046 LLV983046 LVR983046 MFN983046 MPJ983046 MZF983046 NJB983046 NSX983046 OCT983046 OMP983046 OWL983046 PGH983046 PQD983046 PZZ983046 QJV983046 QTR983046 RDN983046 RNJ983046 RXF983046 SHB983046 SQX983046 TAT983046 TKP983046 TUL983046 UEH983046 UOD983046 UXZ983046 VHV983046 VRR983046 WBN983046 WLJ983046 WVF983046">
      <formula1>$D$303:$D$310</formula1>
    </dataValidation>
    <dataValidation type="date" imeMode="off" allowBlank="1" showInputMessage="1" showErrorMessage="1" errorTitle="入力エラー" error="西暦入力なら1971/11/3、和暦なら H4.3.21 等の形式で入力してください。" promptTitle="生年月日を入力してください。" prompt="この日付で介護分の対象（40～65歳未満）か、国保の対象者（74歳未満）かを判定します。" sqref="C7">
      <formula1>1</formula1>
      <formula2>73050</formula2>
    </dataValidation>
  </dataValidations>
  <printOptions horizontalCentered="1" verticalCentered="1"/>
  <pageMargins left="0.51181102362204722" right="0.51181102362204722" top="0.74803149606299213" bottom="0.74803149606299213" header="0.31496062992125984" footer="0.31496062992125984"/>
  <pageSetup paperSize="9" scale="82" orientation="landscape" verticalDpi="0" r:id="rId1"/>
  <drawing r:id="rId2"/>
  <extLst>
    <ext xmlns:x14="http://schemas.microsoft.com/office/spreadsheetml/2009/9/main" uri="{CCE6A557-97BC-4b89-ADB6-D9C93CAAB3DF}">
      <x14:dataValidations xmlns:xm="http://schemas.microsoft.com/office/excel/2006/main" xWindow="360" yWindow="252" count="1">
        <x14:dataValidation type="list" showInputMessage="1" showErrorMessage="1">
          <x14:formula1>
            <xm:f>作業・変換!$D$74:$D$81</xm:f>
          </x14:formula1>
          <xm:sqref>C65545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36"/>
  <sheetViews>
    <sheetView zoomScaleNormal="100" workbookViewId="0">
      <selection activeCell="S10" sqref="S10"/>
    </sheetView>
  </sheetViews>
  <sheetFormatPr defaultRowHeight="18" x14ac:dyDescent="0.45"/>
  <cols>
    <col min="2" max="2" width="5.19921875" bestFit="1" customWidth="1"/>
    <col min="4" max="15" width="3.09765625" customWidth="1"/>
    <col min="16" max="16" width="9" bestFit="1" customWidth="1"/>
    <col min="17" max="17" width="6.19921875" customWidth="1"/>
    <col min="18" max="18" width="16.19921875" customWidth="1"/>
    <col min="19" max="19" width="22.5" customWidth="1"/>
    <col min="20" max="20" width="25" customWidth="1"/>
  </cols>
  <sheetData>
    <row r="1" spans="1:20" ht="26.4" x14ac:dyDescent="0.45">
      <c r="A1" s="403" t="str">
        <f>"令和"&amp;基礎情報入力シート!B1&amp;"年度　多摩市　国民健康保険税　税額試算書"</f>
        <v>令和6年度　多摩市　国民健康保険税　税額試算書</v>
      </c>
      <c r="B1" s="403"/>
      <c r="C1" s="403"/>
      <c r="D1" s="403"/>
      <c r="E1" s="403"/>
      <c r="F1" s="403"/>
      <c r="G1" s="403"/>
      <c r="H1" s="403"/>
      <c r="I1" s="403"/>
      <c r="J1" s="403"/>
      <c r="K1" s="403"/>
      <c r="L1" s="403"/>
      <c r="M1" s="403"/>
      <c r="N1" s="403"/>
      <c r="O1" s="403"/>
      <c r="P1" s="403"/>
      <c r="Q1" s="69"/>
      <c r="R1" s="222"/>
      <c r="S1" s="69"/>
      <c r="T1" s="69"/>
    </row>
    <row r="3" spans="1:20" ht="18.600000000000001" thickBot="1" x14ac:dyDescent="0.5">
      <c r="A3" s="366" t="s">
        <v>103</v>
      </c>
      <c r="B3" s="366"/>
      <c r="C3" s="366"/>
      <c r="D3" s="386" t="str">
        <f>基礎情報入力シート!C6</f>
        <v>世帯主Ａ</v>
      </c>
      <c r="E3" s="386"/>
      <c r="F3" s="386"/>
      <c r="G3" s="386" t="str">
        <f>基礎情報入力シート!D6</f>
        <v/>
      </c>
      <c r="H3" s="386"/>
      <c r="I3" s="386"/>
      <c r="J3" s="386" t="str">
        <f>基礎情報入力シート!E6</f>
        <v/>
      </c>
      <c r="K3" s="386"/>
      <c r="L3" s="386"/>
      <c r="M3" s="386" t="str">
        <f>基礎情報入力シート!F6</f>
        <v/>
      </c>
      <c r="N3" s="386"/>
      <c r="O3" s="386"/>
      <c r="P3" s="40" t="str">
        <f>基礎情報入力シート!G6</f>
        <v/>
      </c>
      <c r="Q3" s="353" t="s">
        <v>100</v>
      </c>
      <c r="R3" s="354"/>
      <c r="S3" s="39" t="s">
        <v>101</v>
      </c>
      <c r="T3" s="39" t="s">
        <v>102</v>
      </c>
    </row>
    <row r="4" spans="1:20" x14ac:dyDescent="0.45">
      <c r="A4" s="389" t="str">
        <f>税額計算情報!A3</f>
        <v>医療分</v>
      </c>
      <c r="B4" s="389" t="s">
        <v>104</v>
      </c>
      <c r="C4" s="389"/>
      <c r="D4" s="387">
        <f>Q18</f>
        <v>0</v>
      </c>
      <c r="E4" s="388"/>
      <c r="F4" s="388"/>
      <c r="G4" s="387">
        <f>Q22</f>
        <v>0</v>
      </c>
      <c r="H4" s="388"/>
      <c r="I4" s="388"/>
      <c r="J4" s="387">
        <f>Q26</f>
        <v>0</v>
      </c>
      <c r="K4" s="388"/>
      <c r="L4" s="388"/>
      <c r="M4" s="387">
        <f>Q30</f>
        <v>0</v>
      </c>
      <c r="N4" s="388"/>
      <c r="O4" s="388"/>
      <c r="P4" s="228">
        <f>Q34</f>
        <v>0</v>
      </c>
      <c r="Q4" s="347">
        <f>SUM(D4:P5)</f>
        <v>0</v>
      </c>
      <c r="R4" s="348"/>
      <c r="S4" s="394">
        <f>MIN(ROUNDDOWN(Q4,-2),税額計算情報!D3)</f>
        <v>0</v>
      </c>
      <c r="T4" s="396" t="str">
        <f>IF(Q4&gt;税額計算情報!D3,"課税限度額超過のため、課税限度額が確定税額です。","地方税法の規定により、百円未満は切り捨てとなります。")</f>
        <v>地方税法の規定により、百円未満は切り捨てとなります。</v>
      </c>
    </row>
    <row r="5" spans="1:20" ht="18.600000000000001" thickBot="1" x14ac:dyDescent="0.5">
      <c r="A5" s="390"/>
      <c r="B5" s="390" t="s">
        <v>99</v>
      </c>
      <c r="C5" s="390"/>
      <c r="D5" s="407">
        <f>S18</f>
        <v>0</v>
      </c>
      <c r="E5" s="408"/>
      <c r="F5" s="408"/>
      <c r="G5" s="407">
        <f>S22</f>
        <v>0</v>
      </c>
      <c r="H5" s="408"/>
      <c r="I5" s="408"/>
      <c r="J5" s="407">
        <f>S26</f>
        <v>0</v>
      </c>
      <c r="K5" s="408"/>
      <c r="L5" s="408"/>
      <c r="M5" s="407">
        <f>S30</f>
        <v>0</v>
      </c>
      <c r="N5" s="408"/>
      <c r="O5" s="408"/>
      <c r="P5" s="229">
        <f>S34</f>
        <v>0</v>
      </c>
      <c r="Q5" s="349"/>
      <c r="R5" s="350"/>
      <c r="S5" s="395"/>
      <c r="T5" s="397"/>
    </row>
    <row r="6" spans="1:20" x14ac:dyDescent="0.45">
      <c r="A6" s="391" t="str">
        <f>税額計算情報!A4</f>
        <v>支援金分</v>
      </c>
      <c r="B6" s="391" t="s">
        <v>104</v>
      </c>
      <c r="C6" s="391"/>
      <c r="D6" s="392">
        <f>Q19</f>
        <v>0</v>
      </c>
      <c r="E6" s="393"/>
      <c r="F6" s="393"/>
      <c r="G6" s="392">
        <f>Q23</f>
        <v>0</v>
      </c>
      <c r="H6" s="393"/>
      <c r="I6" s="393"/>
      <c r="J6" s="392">
        <f>Q27</f>
        <v>0</v>
      </c>
      <c r="K6" s="393"/>
      <c r="L6" s="393"/>
      <c r="M6" s="392">
        <f>Q31</f>
        <v>0</v>
      </c>
      <c r="N6" s="393"/>
      <c r="O6" s="393"/>
      <c r="P6" s="230">
        <f>Q35</f>
        <v>0</v>
      </c>
      <c r="Q6" s="347">
        <f>SUM(D6:P7)</f>
        <v>0</v>
      </c>
      <c r="R6" s="348"/>
      <c r="S6" s="398">
        <f>MIN(ROUNDDOWN(Q6,-2),税額計算情報!D4)</f>
        <v>0</v>
      </c>
      <c r="T6" s="400" t="str">
        <f>IF(Q6&gt;税額計算情報!D4,"課税限度額超過のため、課税限度額が確定税額です。","地方税法の規定により、百円未満は切り捨てとなります。")</f>
        <v>地方税法の規定により、百円未満は切り捨てとなります。</v>
      </c>
    </row>
    <row r="7" spans="1:20" ht="18.600000000000001" thickBot="1" x14ac:dyDescent="0.5">
      <c r="A7" s="366"/>
      <c r="B7" s="366" t="s">
        <v>99</v>
      </c>
      <c r="C7" s="366"/>
      <c r="D7" s="405">
        <f>S19</f>
        <v>0</v>
      </c>
      <c r="E7" s="406"/>
      <c r="F7" s="406"/>
      <c r="G7" s="405">
        <f>S23</f>
        <v>0</v>
      </c>
      <c r="H7" s="406"/>
      <c r="I7" s="406"/>
      <c r="J7" s="405">
        <f>S27</f>
        <v>0</v>
      </c>
      <c r="K7" s="406"/>
      <c r="L7" s="406"/>
      <c r="M7" s="405">
        <f>S31</f>
        <v>0</v>
      </c>
      <c r="N7" s="406"/>
      <c r="O7" s="406"/>
      <c r="P7" s="231">
        <f>S35</f>
        <v>0</v>
      </c>
      <c r="Q7" s="349"/>
      <c r="R7" s="350"/>
      <c r="S7" s="399"/>
      <c r="T7" s="401"/>
    </row>
    <row r="8" spans="1:20" x14ac:dyDescent="0.45">
      <c r="A8" s="389" t="str">
        <f>税額計算情報!A5</f>
        <v>介護分</v>
      </c>
      <c r="B8" s="389" t="s">
        <v>104</v>
      </c>
      <c r="C8" s="389"/>
      <c r="D8" s="387">
        <f>Q20</f>
        <v>0</v>
      </c>
      <c r="E8" s="388"/>
      <c r="F8" s="388"/>
      <c r="G8" s="387">
        <f>Q24</f>
        <v>0</v>
      </c>
      <c r="H8" s="388"/>
      <c r="I8" s="388"/>
      <c r="J8" s="387">
        <f>Q28</f>
        <v>0</v>
      </c>
      <c r="K8" s="388"/>
      <c r="L8" s="388"/>
      <c r="M8" s="387">
        <f>Q32</f>
        <v>0</v>
      </c>
      <c r="N8" s="388"/>
      <c r="O8" s="388"/>
      <c r="P8" s="228">
        <f>Q36</f>
        <v>0</v>
      </c>
      <c r="Q8" s="347">
        <f>SUM(D8:P9)</f>
        <v>0</v>
      </c>
      <c r="R8" s="348"/>
      <c r="S8" s="394">
        <f>MIN(ROUNDDOWN(Q8,-2),税額計算情報!D5)</f>
        <v>0</v>
      </c>
      <c r="T8" s="396" t="str">
        <f>IF(Q8&gt;税額計算情報!D5,"課税限度額超過のため、課税限度額が確定税額です。","地方税法の規定により、百円未満は切り捨てとなります。")</f>
        <v>地方税法の規定により、百円未満は切り捨てとなります。</v>
      </c>
    </row>
    <row r="9" spans="1:20" ht="18.600000000000001" thickBot="1" x14ac:dyDescent="0.5">
      <c r="A9" s="364"/>
      <c r="B9" s="364" t="s">
        <v>99</v>
      </c>
      <c r="C9" s="364"/>
      <c r="D9" s="380">
        <f>S20</f>
        <v>0</v>
      </c>
      <c r="E9" s="381"/>
      <c r="F9" s="381"/>
      <c r="G9" s="380">
        <f>S24</f>
        <v>0</v>
      </c>
      <c r="H9" s="381"/>
      <c r="I9" s="381"/>
      <c r="J9" s="380">
        <f>S28</f>
        <v>0</v>
      </c>
      <c r="K9" s="381"/>
      <c r="L9" s="381"/>
      <c r="M9" s="380">
        <f>S32</f>
        <v>0</v>
      </c>
      <c r="N9" s="381"/>
      <c r="O9" s="381"/>
      <c r="P9" s="232">
        <f>S36</f>
        <v>0</v>
      </c>
      <c r="Q9" s="351"/>
      <c r="R9" s="352"/>
      <c r="S9" s="395"/>
      <c r="T9" s="402"/>
    </row>
    <row r="10" spans="1:20" ht="33.6" thickTop="1" thickBot="1" x14ac:dyDescent="0.5">
      <c r="B10" s="382" t="str">
        <f>IF(OR(基礎情報入力シート!C29:G29),"今年度40歳になる方の介護分は、40歳に到達した月の翌月以降に増額されます（右の表示金額は増額後の金額です）。","")</f>
        <v/>
      </c>
      <c r="C10" s="382"/>
      <c r="D10" s="382"/>
      <c r="E10" s="382"/>
      <c r="F10" s="382"/>
      <c r="G10" s="382"/>
      <c r="H10" s="382"/>
      <c r="I10" s="382"/>
      <c r="J10" s="382"/>
      <c r="K10" s="382"/>
      <c r="L10" s="382"/>
      <c r="M10" s="382"/>
      <c r="N10" s="382"/>
      <c r="O10" s="382"/>
      <c r="P10" s="383"/>
      <c r="Q10" s="355" t="s">
        <v>105</v>
      </c>
      <c r="R10" s="356"/>
      <c r="S10" s="67">
        <f>SUM(S4:S9)</f>
        <v>0</v>
      </c>
    </row>
    <row r="11" spans="1:20" ht="18.600000000000001" thickTop="1" x14ac:dyDescent="0.45"/>
    <row r="12" spans="1:20" ht="22.2" x14ac:dyDescent="0.45">
      <c r="A12" s="404" t="str">
        <f>"令和"&amp;基礎情報入力シート!B1&amp;"年度　多摩市　国民健康保険税　個人別試算明細書"</f>
        <v>令和6年度　多摩市　国民健康保険税　個人別試算明細書</v>
      </c>
      <c r="B12" s="404"/>
      <c r="C12" s="404"/>
      <c r="D12" s="404"/>
      <c r="E12" s="404"/>
      <c r="F12" s="404"/>
      <c r="G12" s="404"/>
      <c r="H12" s="404"/>
      <c r="I12" s="404"/>
      <c r="J12" s="404"/>
      <c r="K12" s="404"/>
      <c r="L12" s="404"/>
      <c r="M12" s="404"/>
      <c r="N12" s="404"/>
      <c r="O12" s="404"/>
      <c r="P12" s="404"/>
      <c r="Q12" s="68"/>
      <c r="R12" s="223"/>
      <c r="S12" s="68"/>
      <c r="T12" s="68"/>
    </row>
    <row r="14" spans="1:20" x14ac:dyDescent="0.45">
      <c r="A14" s="363" t="s">
        <v>74</v>
      </c>
      <c r="B14" s="367" t="s">
        <v>75</v>
      </c>
      <c r="C14" s="368"/>
      <c r="D14" s="363" t="s">
        <v>76</v>
      </c>
      <c r="E14" s="364"/>
      <c r="F14" s="364"/>
      <c r="G14" s="364"/>
      <c r="H14" s="364"/>
      <c r="I14" s="364"/>
      <c r="J14" s="364"/>
      <c r="K14" s="364"/>
      <c r="L14" s="364"/>
      <c r="M14" s="364"/>
      <c r="N14" s="364"/>
      <c r="O14" s="365"/>
      <c r="P14" s="384" t="s">
        <v>72</v>
      </c>
      <c r="Q14" s="344" t="s">
        <v>77</v>
      </c>
      <c r="R14" s="224" t="str">
        <f>"[医療分"&amp;TEXT(税額計算情報!C3,"0.00%")&amp;"]"</f>
        <v>[医療分5.81%]</v>
      </c>
      <c r="S14" s="43"/>
      <c r="T14" s="44"/>
    </row>
    <row r="15" spans="1:20" x14ac:dyDescent="0.45">
      <c r="A15" s="364"/>
      <c r="B15" s="367"/>
      <c r="C15" s="369"/>
      <c r="D15" s="364"/>
      <c r="E15" s="364"/>
      <c r="F15" s="364"/>
      <c r="G15" s="364"/>
      <c r="H15" s="364"/>
      <c r="I15" s="364"/>
      <c r="J15" s="364"/>
      <c r="K15" s="364"/>
      <c r="L15" s="364"/>
      <c r="M15" s="364"/>
      <c r="N15" s="364"/>
      <c r="O15" s="365"/>
      <c r="P15" s="384"/>
      <c r="Q15" s="345"/>
      <c r="R15" s="225" t="str">
        <f>"[支援金分"&amp;TEXT(税額計算情報!C4,"0.00%")&amp;"]"</f>
        <v>[支援金分1.89%]</v>
      </c>
      <c r="S15" s="37" t="s">
        <v>79</v>
      </c>
      <c r="T15" s="45" t="s">
        <v>78</v>
      </c>
    </row>
    <row r="16" spans="1:20" ht="18.600000000000001" thickBot="1" x14ac:dyDescent="0.5">
      <c r="A16" s="366"/>
      <c r="B16" s="353"/>
      <c r="C16" s="370"/>
      <c r="D16" s="40">
        <v>4</v>
      </c>
      <c r="E16" s="40">
        <v>5</v>
      </c>
      <c r="F16" s="40">
        <v>6</v>
      </c>
      <c r="G16" s="40">
        <v>7</v>
      </c>
      <c r="H16" s="40">
        <v>8</v>
      </c>
      <c r="I16" s="40">
        <v>9</v>
      </c>
      <c r="J16" s="40">
        <v>10</v>
      </c>
      <c r="K16" s="40">
        <v>11</v>
      </c>
      <c r="L16" s="40">
        <v>12</v>
      </c>
      <c r="M16" s="40">
        <v>1</v>
      </c>
      <c r="N16" s="40">
        <v>2</v>
      </c>
      <c r="O16" s="41">
        <v>3</v>
      </c>
      <c r="P16" s="385"/>
      <c r="Q16" s="346"/>
      <c r="R16" s="226" t="str">
        <f>"[介護分"&amp;TEXT(税額計算情報!C5,"0.00%")&amp;"]"</f>
        <v>[介護分1.68%]</v>
      </c>
      <c r="S16" s="48" t="str">
        <f>"（軽減適用："&amp;IF(基礎情報入力シート!K26=0,"なし）",基礎情報入力シート!K26&amp;"割軽減）")</f>
        <v>（軽減適用：7割軽減）</v>
      </c>
      <c r="T16" s="46" t="s">
        <v>95</v>
      </c>
    </row>
    <row r="17" spans="1:20" x14ac:dyDescent="0.45">
      <c r="A17" s="357" t="str">
        <f>基礎情報入力シート!$C$6</f>
        <v>世帯主Ａ</v>
      </c>
      <c r="B17" s="360" t="str">
        <f>IF(COUNT(基礎情報入力シート!$C$5)=1,基礎情報入力シート!$C$5,"-")</f>
        <v>-</v>
      </c>
      <c r="C17" s="374">
        <f>基礎情報入力シート!C7</f>
        <v>0</v>
      </c>
      <c r="D17" s="375"/>
      <c r="E17" s="376"/>
      <c r="F17" s="378" t="str">
        <f>基礎情報入力シート!$A$31&amp;"："</f>
        <v>所得割基礎額：</v>
      </c>
      <c r="G17" s="379"/>
      <c r="H17" s="379"/>
      <c r="I17" s="379"/>
      <c r="J17" s="379"/>
      <c r="K17" s="371">
        <f>基礎情報入力シート!$C$31</f>
        <v>0</v>
      </c>
      <c r="L17" s="372"/>
      <c r="M17" s="372"/>
      <c r="N17" s="372"/>
      <c r="O17" s="373"/>
      <c r="P17" s="35"/>
      <c r="Q17" s="340" t="str">
        <f>IF(基礎情報入力シート!C27,"非自発的失業者減免適用","＊＊＊＊＊")</f>
        <v>＊＊＊＊＊</v>
      </c>
      <c r="R17" s="341"/>
      <c r="S17" s="47" t="str">
        <f>IF(AND(基礎情報入力シート!$C$28=1,基礎情報入力シート!$K$28&gt;0),"未就学児軽減適用","＊＊＊＊＊")</f>
        <v>＊＊＊＊＊</v>
      </c>
      <c r="T17" s="34">
        <f>SUM(T18:T20)</f>
        <v>0</v>
      </c>
    </row>
    <row r="18" spans="1:20" x14ac:dyDescent="0.45">
      <c r="A18" s="358"/>
      <c r="B18" s="361"/>
      <c r="C18" s="49" t="str">
        <f>税額計算情報!A3</f>
        <v>医療分</v>
      </c>
      <c r="D18" s="202" t="str">
        <f>IF(AND(基礎情報入力シート!$D$2&lt;&gt;"しない",基礎情報入力シート!$C$7&gt;作業・変換!C$49,基礎情報入力シート!$C$7&lt;作業・変換!C$46),"〇","／")</f>
        <v>／</v>
      </c>
      <c r="E18" s="202" t="str">
        <f>IF(AND(基礎情報入力シート!$D$2&lt;&gt;"しない",基礎情報入力シート!$C$7&gt;作業・変換!D$49,基礎情報入力シート!$C$7&lt;作業・変換!D$46),"〇","／")</f>
        <v>／</v>
      </c>
      <c r="F18" s="202" t="str">
        <f>IF(AND(基礎情報入力シート!$D$2&lt;&gt;"しない",基礎情報入力シート!$C$7&gt;作業・変換!E$49,基礎情報入力シート!$C$7&lt;作業・変換!E$46),"〇","／")</f>
        <v>／</v>
      </c>
      <c r="G18" s="202" t="str">
        <f>IF(AND(基礎情報入力シート!$D$2&lt;&gt;"しない",基礎情報入力シート!$C$7&gt;作業・変換!F$49,基礎情報入力シート!$C$7&lt;作業・変換!F$46),"〇","／")</f>
        <v>／</v>
      </c>
      <c r="H18" s="202" t="str">
        <f>IF(AND(基礎情報入力シート!$D$2&lt;&gt;"しない",基礎情報入力シート!$C$7&gt;作業・変換!G$49,基礎情報入力シート!$C$7&lt;作業・変換!G$46),"〇","／")</f>
        <v>／</v>
      </c>
      <c r="I18" s="202" t="str">
        <f>IF(AND(基礎情報入力シート!$D$2&lt;&gt;"しない",基礎情報入力シート!$C$7&gt;作業・変換!H$49,基礎情報入力シート!$C$7&lt;作業・変換!H$46),"〇","／")</f>
        <v>／</v>
      </c>
      <c r="J18" s="202" t="str">
        <f>IF(AND(基礎情報入力シート!$D$2&lt;&gt;"しない",基礎情報入力シート!$C$7&gt;作業・変換!I$49,基礎情報入力シート!$C$7&lt;作業・変換!I$46),"〇","／")</f>
        <v>／</v>
      </c>
      <c r="K18" s="202" t="str">
        <f>IF(AND(基礎情報入力シート!$D$2&lt;&gt;"しない",基礎情報入力シート!$C$7&gt;作業・変換!J$49,基礎情報入力シート!$C$7&lt;作業・変換!J$46),"〇","／")</f>
        <v>／</v>
      </c>
      <c r="L18" s="202" t="str">
        <f>IF(AND(基礎情報入力シート!$D$2&lt;&gt;"しない",基礎情報入力シート!$C$7&gt;作業・変換!K$49,基礎情報入力シート!$C$7&lt;作業・変換!K$46),"〇","／")</f>
        <v>／</v>
      </c>
      <c r="M18" s="202" t="str">
        <f>IF(AND(基礎情報入力シート!$D$2&lt;&gt;"しない",基礎情報入力シート!$C$7&gt;作業・変換!L$49,基礎情報入力シート!$C$7&lt;作業・変換!L$46),"〇","／")</f>
        <v>／</v>
      </c>
      <c r="N18" s="202" t="str">
        <f>IF(AND(基礎情報入力シート!$D$2&lt;&gt;"しない",基礎情報入力シート!$C$7&gt;作業・変換!M$49,基礎情報入力シート!$C$7&lt;作業・変換!M$46),"〇","／")</f>
        <v>／</v>
      </c>
      <c r="O18" s="203" t="str">
        <f>IF(AND(基礎情報入力シート!$D$2&lt;&gt;"しない",基礎情報入力シート!$C$7&gt;作業・変換!N$49,基礎情報入力シート!$C$7&lt;作業・変換!N$46),"〇","／")</f>
        <v>／</v>
      </c>
      <c r="P18" s="61">
        <f>COUNTIF(D18:O18,"〇")</f>
        <v>0</v>
      </c>
      <c r="Q18" s="342">
        <f>ROUNDDOWN(K$17*税額計算情報!$C3*(P18/12),0)</f>
        <v>0</v>
      </c>
      <c r="R18" s="343"/>
      <c r="S18" s="50">
        <f>ROUNDDOWN(税額計算情報!B3*(1-基礎情報入力シート!$K$26/10)*(P18/12)*IF(基礎情報入力シート!$C$28=1,1-基礎情報入力シート!$K$28,1),0)</f>
        <v>0</v>
      </c>
      <c r="T18" s="51">
        <f>Q18+S18</f>
        <v>0</v>
      </c>
    </row>
    <row r="19" spans="1:20" x14ac:dyDescent="0.45">
      <c r="A19" s="358"/>
      <c r="B19" s="361"/>
      <c r="C19" s="52" t="str">
        <f>税額計算情報!A4</f>
        <v>支援金分</v>
      </c>
      <c r="D19" s="214" t="str">
        <f>IF(D18="〇","〇","／")</f>
        <v>／</v>
      </c>
      <c r="E19" s="214" t="str">
        <f t="shared" ref="E19:O19" si="0">IF(E18="〇","〇","／")</f>
        <v>／</v>
      </c>
      <c r="F19" s="214" t="str">
        <f t="shared" si="0"/>
        <v>／</v>
      </c>
      <c r="G19" s="214" t="str">
        <f t="shared" si="0"/>
        <v>／</v>
      </c>
      <c r="H19" s="214" t="str">
        <f t="shared" si="0"/>
        <v>／</v>
      </c>
      <c r="I19" s="214" t="str">
        <f t="shared" si="0"/>
        <v>／</v>
      </c>
      <c r="J19" s="214" t="str">
        <f t="shared" si="0"/>
        <v>／</v>
      </c>
      <c r="K19" s="214" t="str">
        <f t="shared" si="0"/>
        <v>／</v>
      </c>
      <c r="L19" s="214" t="str">
        <f t="shared" si="0"/>
        <v>／</v>
      </c>
      <c r="M19" s="214" t="str">
        <f t="shared" si="0"/>
        <v>／</v>
      </c>
      <c r="N19" s="214" t="str">
        <f t="shared" si="0"/>
        <v>／</v>
      </c>
      <c r="O19" s="215" t="str">
        <f t="shared" si="0"/>
        <v>／</v>
      </c>
      <c r="P19" s="62">
        <f>COUNTIF(D19:O19,"〇")</f>
        <v>0</v>
      </c>
      <c r="Q19" s="336">
        <f>ROUNDDOWN(K$17*税額計算情報!$C4*(P19/12),0)</f>
        <v>0</v>
      </c>
      <c r="R19" s="337"/>
      <c r="S19" s="53">
        <f>ROUNDDOWN(税額計算情報!B4*(1-基礎情報入力シート!$K$26/10)*(P19/12)*IF(基礎情報入力シート!$C$30=1,1-基礎情報入力シート!$K$28,1),0)</f>
        <v>0</v>
      </c>
      <c r="T19" s="54">
        <f t="shared" ref="T19:T20" si="1">Q19+S19</f>
        <v>0</v>
      </c>
    </row>
    <row r="20" spans="1:20" ht="18.600000000000001" thickBot="1" x14ac:dyDescent="0.5">
      <c r="A20" s="359"/>
      <c r="B20" s="362"/>
      <c r="C20" s="55" t="str">
        <f>税額計算情報!A5</f>
        <v>介護分</v>
      </c>
      <c r="D20" s="216" t="str">
        <f>IF(AND(D18="〇",作業・変換!C$48&lt;基礎情報入力シート!$C$7,基礎情報入力シート!$C$7&lt;作業・変換!C$47),"〇","／")</f>
        <v>／</v>
      </c>
      <c r="E20" s="216" t="str">
        <f>IF(AND(E18="〇",作業・変換!D$48&lt;基礎情報入力シート!$C$7,基礎情報入力シート!$C$7&lt;作業・変換!D$47),"〇","／")</f>
        <v>／</v>
      </c>
      <c r="F20" s="216" t="str">
        <f>IF(AND(F18="〇",作業・変換!E$48&lt;基礎情報入力シート!$C$7,基礎情報入力シート!$C$7&lt;作業・変換!E$47),"〇","／")</f>
        <v>／</v>
      </c>
      <c r="G20" s="216" t="str">
        <f>IF(AND(G18="〇",作業・変換!F$48&lt;基礎情報入力シート!$C$7,基礎情報入力シート!$C$7&lt;作業・変換!F$47),"〇","／")</f>
        <v>／</v>
      </c>
      <c r="H20" s="216" t="str">
        <f>IF(AND(H18="〇",作業・変換!G$48&lt;基礎情報入力シート!$C$7,基礎情報入力シート!$C$7&lt;作業・変換!G$47),"〇","／")</f>
        <v>／</v>
      </c>
      <c r="I20" s="216" t="str">
        <f>IF(AND(I18="〇",作業・変換!H$48&lt;基礎情報入力シート!$C$7,基礎情報入力シート!$C$7&lt;作業・変換!H$47),"〇","／")</f>
        <v>／</v>
      </c>
      <c r="J20" s="216" t="str">
        <f>IF(AND(J18="〇",作業・変換!I$48&lt;基礎情報入力シート!$C$7,基礎情報入力シート!$C$7&lt;作業・変換!I$47),"〇","／")</f>
        <v>／</v>
      </c>
      <c r="K20" s="216" t="str">
        <f>IF(AND(K18="〇",作業・変換!J$48&lt;基礎情報入力シート!$C$7,基礎情報入力シート!$C$7&lt;作業・変換!J$47),"〇","／")</f>
        <v>／</v>
      </c>
      <c r="L20" s="216" t="str">
        <f>IF(AND(L18="〇",作業・変換!K$48&lt;基礎情報入力シート!$C$7,基礎情報入力シート!$C$7&lt;作業・変換!K$47),"〇","／")</f>
        <v>／</v>
      </c>
      <c r="M20" s="216" t="str">
        <f>IF(AND(M18="〇",作業・変換!L$48&lt;基礎情報入力シート!$C$7,基礎情報入力シート!$C$7&lt;作業・変換!L$47),"〇","／")</f>
        <v>／</v>
      </c>
      <c r="N20" s="216" t="str">
        <f>IF(AND(N18="〇",作業・変換!M$48&lt;基礎情報入力シート!$C$7,基礎情報入力シート!$C$7&lt;作業・変換!M$47),"〇","／")</f>
        <v>／</v>
      </c>
      <c r="O20" s="216" t="str">
        <f>IF(AND(O18="〇",作業・変換!N$48&lt;基礎情報入力シート!$C$7,基礎情報入力シート!$C$7&lt;作業・変換!N$47),"〇","／")</f>
        <v>／</v>
      </c>
      <c r="P20" s="63">
        <f>COUNTIF(D20:O20,"〇")</f>
        <v>0</v>
      </c>
      <c r="Q20" s="338">
        <f>ROUNDDOWN(K$17*税額計算情報!$C5*(P20/12),0)</f>
        <v>0</v>
      </c>
      <c r="R20" s="339"/>
      <c r="S20" s="56">
        <f>ROUNDDOWN(税額計算情報!B5*(1-基礎情報入力シート!$K$26/10)*(P20/12)*IF(基礎情報入力シート!$C$31=1,1-基礎情報入力シート!$K$28,1),0)</f>
        <v>0</v>
      </c>
      <c r="T20" s="57">
        <f t="shared" si="1"/>
        <v>0</v>
      </c>
    </row>
    <row r="21" spans="1:20" x14ac:dyDescent="0.45">
      <c r="A21" s="357" t="str">
        <f>基礎情報入力シート!D6</f>
        <v/>
      </c>
      <c r="B21" s="360" t="str">
        <f>IF(COUNT(基礎情報入力シート!$D$5)=1,基礎情報入力シート!$D$5,"-")</f>
        <v>-</v>
      </c>
      <c r="C21" s="374">
        <f>基礎情報入力シート!D7</f>
        <v>0</v>
      </c>
      <c r="D21" s="375"/>
      <c r="E21" s="376"/>
      <c r="F21" s="378" t="str">
        <f>基礎情報入力シート!$A$31&amp;"："</f>
        <v>所得割基礎額：</v>
      </c>
      <c r="G21" s="379"/>
      <c r="H21" s="379"/>
      <c r="I21" s="379"/>
      <c r="J21" s="379"/>
      <c r="K21" s="371">
        <f>基礎情報入力シート!$D$31</f>
        <v>0</v>
      </c>
      <c r="L21" s="372"/>
      <c r="M21" s="372"/>
      <c r="N21" s="372"/>
      <c r="O21" s="373"/>
      <c r="P21" s="35"/>
      <c r="Q21" s="340" t="str">
        <f>IF(基礎情報入力シート!D27,"非自発的失業者減免適用","＊＊＊＊＊")</f>
        <v>＊＊＊＊＊</v>
      </c>
      <c r="R21" s="341"/>
      <c r="S21" s="47" t="str">
        <f>IF(AND(基礎情報入力シート!$D$28=1,基礎情報入力シート!$K$28&gt;0),"未就学児軽減適用","＊＊＊＊＊")</f>
        <v>＊＊＊＊＊</v>
      </c>
      <c r="T21" s="34">
        <f>SUM(T22:T24)</f>
        <v>0</v>
      </c>
    </row>
    <row r="22" spans="1:20" x14ac:dyDescent="0.45">
      <c r="A22" s="358"/>
      <c r="B22" s="361"/>
      <c r="C22" s="49" t="str">
        <f>税額計算情報!A3</f>
        <v>医療分</v>
      </c>
      <c r="D22" s="202" t="str">
        <f>IF(AND(COUNT(基礎情報入力シート!$D$7)=1,基礎情報入力シート!$D$7&gt;作業・変換!C$49,基礎情報入力シート!$D$7&lt;作業・変換!C$46),"〇","／")</f>
        <v>／</v>
      </c>
      <c r="E22" s="202" t="str">
        <f>IF(AND(COUNT(基礎情報入力シート!$D$7)=1,基礎情報入力シート!$D$7&gt;作業・変換!D$49,基礎情報入力シート!$D$7&lt;作業・変換!D$46),"〇","／")</f>
        <v>／</v>
      </c>
      <c r="F22" s="202" t="str">
        <f>IF(AND(COUNT(基礎情報入力シート!$D$7)=1,基礎情報入力シート!$D$7&gt;作業・変換!E$49,基礎情報入力シート!$D$7&lt;作業・変換!E$46),"〇","／")</f>
        <v>／</v>
      </c>
      <c r="G22" s="202" t="str">
        <f>IF(AND(COUNT(基礎情報入力シート!$D$7)=1,基礎情報入力シート!$D$7&gt;作業・変換!F$49,基礎情報入力シート!$D$7&lt;作業・変換!F$46),"〇","／")</f>
        <v>／</v>
      </c>
      <c r="H22" s="202" t="str">
        <f>IF(AND(COUNT(基礎情報入力シート!$D$7)=1,基礎情報入力シート!$D$7&gt;作業・変換!G$49,基礎情報入力シート!$D$7&lt;作業・変換!G$46),"〇","／")</f>
        <v>／</v>
      </c>
      <c r="I22" s="202" t="str">
        <f>IF(AND(COUNT(基礎情報入力シート!$D$7)=1,基礎情報入力シート!$D$7&gt;作業・変換!H$49,基礎情報入力シート!$D$7&lt;作業・変換!H$46),"〇","／")</f>
        <v>／</v>
      </c>
      <c r="J22" s="202" t="str">
        <f>IF(AND(COUNT(基礎情報入力シート!$D$7)=1,基礎情報入力シート!$D$7&gt;作業・変換!I$49,基礎情報入力シート!$D$7&lt;作業・変換!I$46),"〇","／")</f>
        <v>／</v>
      </c>
      <c r="K22" s="202" t="str">
        <f>IF(AND(COUNT(基礎情報入力シート!$D$7)=1,基礎情報入力シート!$D$7&gt;作業・変換!J$49,基礎情報入力シート!$D$7&lt;作業・変換!J$46),"〇","／")</f>
        <v>／</v>
      </c>
      <c r="L22" s="202" t="str">
        <f>IF(AND(COUNT(基礎情報入力シート!$D$7)=1,基礎情報入力シート!$D$7&gt;作業・変換!K$49,基礎情報入力シート!$D$7&lt;作業・変換!K$46),"〇","／")</f>
        <v>／</v>
      </c>
      <c r="M22" s="202" t="str">
        <f>IF(AND(COUNT(基礎情報入力シート!$D$7)=1,基礎情報入力シート!$D$7&gt;作業・変換!L$49,基礎情報入力シート!$D$7&lt;作業・変換!L$46),"〇","／")</f>
        <v>／</v>
      </c>
      <c r="N22" s="202" t="str">
        <f>IF(AND(COUNT(基礎情報入力シート!$D$7)=1,基礎情報入力シート!$D$7&gt;作業・変換!M$49,基礎情報入力シート!$D$7&lt;作業・変換!M$46),"〇","／")</f>
        <v>／</v>
      </c>
      <c r="O22" s="204" t="str">
        <f>IF(AND(COUNT(基礎情報入力シート!$D$7)=1,基礎情報入力シート!$D$7&gt;作業・変換!N$49,基礎情報入力シート!$D$7&lt;作業・変換!N$46),"〇","／")</f>
        <v>／</v>
      </c>
      <c r="P22" s="61">
        <f>COUNTIF(D22:O22,"〇")</f>
        <v>0</v>
      </c>
      <c r="Q22" s="342">
        <f>ROUNDDOWN(K$21*税額計算情報!$C3*(P22/12),0)</f>
        <v>0</v>
      </c>
      <c r="R22" s="343"/>
      <c r="S22" s="50">
        <f>ROUNDDOWN(税額計算情報!B3*(1-基礎情報入力シート!$K$26/10)*(P22/12)*IF(基礎情報入力シート!$D$28=1,1-基礎情報入力シート!$K$28,1),0)</f>
        <v>0</v>
      </c>
      <c r="T22" s="51">
        <f>Q22+S22</f>
        <v>0</v>
      </c>
    </row>
    <row r="23" spans="1:20" x14ac:dyDescent="0.45">
      <c r="A23" s="358"/>
      <c r="B23" s="361"/>
      <c r="C23" s="52" t="str">
        <f>税額計算情報!A4</f>
        <v>支援金分</v>
      </c>
      <c r="D23" s="214" t="str">
        <f>IF(D22="〇","〇","／")</f>
        <v>／</v>
      </c>
      <c r="E23" s="214" t="str">
        <f t="shared" ref="E23" si="2">IF(E22="〇","〇","／")</f>
        <v>／</v>
      </c>
      <c r="F23" s="214" t="str">
        <f t="shared" ref="F23" si="3">IF(F22="〇","〇","／")</f>
        <v>／</v>
      </c>
      <c r="G23" s="214" t="str">
        <f t="shared" ref="G23" si="4">IF(G22="〇","〇","／")</f>
        <v>／</v>
      </c>
      <c r="H23" s="214" t="str">
        <f t="shared" ref="H23" si="5">IF(H22="〇","〇","／")</f>
        <v>／</v>
      </c>
      <c r="I23" s="214" t="str">
        <f t="shared" ref="I23" si="6">IF(I22="〇","〇","／")</f>
        <v>／</v>
      </c>
      <c r="J23" s="214" t="str">
        <f t="shared" ref="J23" si="7">IF(J22="〇","〇","／")</f>
        <v>／</v>
      </c>
      <c r="K23" s="214" t="str">
        <f t="shared" ref="K23" si="8">IF(K22="〇","〇","／")</f>
        <v>／</v>
      </c>
      <c r="L23" s="214" t="str">
        <f t="shared" ref="L23" si="9">IF(L22="〇","〇","／")</f>
        <v>／</v>
      </c>
      <c r="M23" s="214" t="str">
        <f t="shared" ref="M23" si="10">IF(M22="〇","〇","／")</f>
        <v>／</v>
      </c>
      <c r="N23" s="214" t="str">
        <f t="shared" ref="N23" si="11">IF(N22="〇","〇","／")</f>
        <v>／</v>
      </c>
      <c r="O23" s="215" t="str">
        <f t="shared" ref="O23" si="12">IF(O22="〇","〇","／")</f>
        <v>／</v>
      </c>
      <c r="P23" s="62">
        <f>COUNTIF(D23:O23,"〇")</f>
        <v>0</v>
      </c>
      <c r="Q23" s="336">
        <f>ROUNDDOWN(K$21*税額計算情報!$C4*(P23/12),0)</f>
        <v>0</v>
      </c>
      <c r="R23" s="337"/>
      <c r="S23" s="53">
        <f>ROUNDDOWN(税額計算情報!B4*(1-基礎情報入力シート!$K$26/10)*(P23/12)*IF(基礎情報入力シート!$D$28=1,1-基礎情報入力シート!$K$28,1),0)</f>
        <v>0</v>
      </c>
      <c r="T23" s="54">
        <f t="shared" ref="T23:T24" si="13">Q23+S23</f>
        <v>0</v>
      </c>
    </row>
    <row r="24" spans="1:20" ht="18.600000000000001" thickBot="1" x14ac:dyDescent="0.5">
      <c r="A24" s="359"/>
      <c r="B24" s="362"/>
      <c r="C24" s="55" t="str">
        <f>税額計算情報!A5</f>
        <v>介護分</v>
      </c>
      <c r="D24" s="216" t="str">
        <f>IF(AND(D22="〇",作業・変換!C$48&lt;基礎情報入力シート!$D$7,基礎情報入力シート!$D$7&lt;作業・変換!C$47),"〇","／")</f>
        <v>／</v>
      </c>
      <c r="E24" s="216" t="str">
        <f>IF(AND(E22="〇",作業・変換!D$48&lt;基礎情報入力シート!$D$7,基礎情報入力シート!$D$7&lt;作業・変換!D$47),"〇","／")</f>
        <v>／</v>
      </c>
      <c r="F24" s="216" t="str">
        <f>IF(AND(F22="〇",作業・変換!E$48&lt;基礎情報入力シート!$D$7,基礎情報入力シート!$D$7&lt;作業・変換!E$47),"〇","／")</f>
        <v>／</v>
      </c>
      <c r="G24" s="216" t="str">
        <f>IF(AND(G22="〇",作業・変換!F$48&lt;基礎情報入力シート!$D$7,基礎情報入力シート!$D$7&lt;作業・変換!F$47),"〇","／")</f>
        <v>／</v>
      </c>
      <c r="H24" s="216" t="str">
        <f>IF(AND(H22="〇",作業・変換!G$48&lt;基礎情報入力シート!$D$7,基礎情報入力シート!$D$7&lt;作業・変換!G$47),"〇","／")</f>
        <v>／</v>
      </c>
      <c r="I24" s="216" t="str">
        <f>IF(AND(I22="〇",作業・変換!H$48&lt;基礎情報入力シート!$D$7,基礎情報入力シート!$D$7&lt;作業・変換!H$47),"〇","／")</f>
        <v>／</v>
      </c>
      <c r="J24" s="216" t="str">
        <f>IF(AND(J22="〇",作業・変換!I$48&lt;基礎情報入力シート!$D$7,基礎情報入力シート!$D$7&lt;作業・変換!I$47),"〇","／")</f>
        <v>／</v>
      </c>
      <c r="K24" s="216" t="str">
        <f>IF(AND(K22="〇",作業・変換!J$48&lt;基礎情報入力シート!$D$7,基礎情報入力シート!$D$7&lt;作業・変換!J$47),"〇","／")</f>
        <v>／</v>
      </c>
      <c r="L24" s="216" t="str">
        <f>IF(AND(L22="〇",作業・変換!K$48&lt;基礎情報入力シート!$D$7,基礎情報入力シート!$D$7&lt;作業・変換!K$47),"〇","／")</f>
        <v>／</v>
      </c>
      <c r="M24" s="216" t="str">
        <f>IF(AND(M22="〇",作業・変換!L$48&lt;基礎情報入力シート!$D$7,基礎情報入力シート!$D$7&lt;作業・変換!L$47),"〇","／")</f>
        <v>／</v>
      </c>
      <c r="N24" s="216" t="str">
        <f>IF(AND(N22="〇",作業・変換!M$48&lt;基礎情報入力シート!$D$7,基礎情報入力シート!$D$7&lt;作業・変換!M$47),"〇","／")</f>
        <v>／</v>
      </c>
      <c r="O24" s="217" t="str">
        <f>IF(AND(O22="〇",作業・変換!N$48&lt;基礎情報入力シート!$D$7,基礎情報入力シート!$D$7&lt;作業・変換!N$47),"〇","／")</f>
        <v>／</v>
      </c>
      <c r="P24" s="63">
        <f>COUNTIF(D24:O24,"〇")</f>
        <v>0</v>
      </c>
      <c r="Q24" s="338">
        <f>ROUNDDOWN(K$21*税額計算情報!$C5*(P24/12),0)</f>
        <v>0</v>
      </c>
      <c r="R24" s="339"/>
      <c r="S24" s="56">
        <f>ROUNDDOWN(税額計算情報!B5*(1-基礎情報入力シート!$K$26/10)*(P24/12)*IF(基礎情報入力シート!$D$28=1,1-基礎情報入力シート!$K$28,1),0)</f>
        <v>0</v>
      </c>
      <c r="T24" s="57">
        <f t="shared" si="13"/>
        <v>0</v>
      </c>
    </row>
    <row r="25" spans="1:20" x14ac:dyDescent="0.45">
      <c r="A25" s="357" t="str">
        <f>基礎情報入力シート!E6</f>
        <v/>
      </c>
      <c r="B25" s="360" t="str">
        <f>IF(COUNT(基礎情報入力シート!$E$5)=1,基礎情報入力シート!$E$5,"-")</f>
        <v>-</v>
      </c>
      <c r="C25" s="374">
        <f>基礎情報入力シート!E7</f>
        <v>0</v>
      </c>
      <c r="D25" s="375"/>
      <c r="E25" s="376"/>
      <c r="F25" s="378" t="str">
        <f>基礎情報入力シート!$A$31&amp;"："</f>
        <v>所得割基礎額：</v>
      </c>
      <c r="G25" s="379"/>
      <c r="H25" s="379"/>
      <c r="I25" s="379"/>
      <c r="J25" s="379"/>
      <c r="K25" s="371">
        <f>基礎情報入力シート!$E$31</f>
        <v>0</v>
      </c>
      <c r="L25" s="372"/>
      <c r="M25" s="372"/>
      <c r="N25" s="372"/>
      <c r="O25" s="373"/>
      <c r="P25" s="35"/>
      <c r="Q25" s="340" t="str">
        <f>IF(基礎情報入力シート!E27,"非自発的失業者減免適用","＊＊＊＊＊")</f>
        <v>＊＊＊＊＊</v>
      </c>
      <c r="R25" s="341"/>
      <c r="S25" s="47" t="str">
        <f>IF(AND(基礎情報入力シート!$E$28=1,基礎情報入力シート!$K$28&gt;0),"未就学児軽減適用","＊＊＊＊＊")</f>
        <v>＊＊＊＊＊</v>
      </c>
      <c r="T25" s="34">
        <f>SUM(T26:T28)</f>
        <v>0</v>
      </c>
    </row>
    <row r="26" spans="1:20" x14ac:dyDescent="0.45">
      <c r="A26" s="358"/>
      <c r="B26" s="361"/>
      <c r="C26" s="49" t="str">
        <f>税額計算情報!A3</f>
        <v>医療分</v>
      </c>
      <c r="D26" s="202" t="str">
        <f>IF(AND(COUNT(基礎情報入力シート!$E$7)=1,基礎情報入力シート!$E$7&gt;作業・変換!C$49,基礎情報入力シート!$E$7&lt;作業・変換!C$46),"〇","／")</f>
        <v>／</v>
      </c>
      <c r="E26" s="202" t="str">
        <f>IF(AND(COUNT(基礎情報入力シート!$E$7)=1,基礎情報入力シート!$E$7&gt;作業・変換!D$49,基礎情報入力シート!$E$7&lt;作業・変換!D$46),"〇","／")</f>
        <v>／</v>
      </c>
      <c r="F26" s="202" t="str">
        <f>IF(AND(COUNT(基礎情報入力シート!$E$7)=1,基礎情報入力シート!$E$7&gt;作業・変換!E$49,基礎情報入力シート!$E$7&lt;作業・変換!E$46),"〇","／")</f>
        <v>／</v>
      </c>
      <c r="G26" s="202" t="str">
        <f>IF(AND(COUNT(基礎情報入力シート!$E$7)=1,基礎情報入力シート!$E$7&gt;作業・変換!F$49,基礎情報入力シート!$E$7&lt;作業・変換!F$46),"〇","／")</f>
        <v>／</v>
      </c>
      <c r="H26" s="202" t="str">
        <f>IF(AND(COUNT(基礎情報入力シート!$E$7)=1,基礎情報入力シート!$E$7&gt;作業・変換!G$49,基礎情報入力シート!$E$7&lt;作業・変換!G$46),"〇","／")</f>
        <v>／</v>
      </c>
      <c r="I26" s="202" t="str">
        <f>IF(AND(COUNT(基礎情報入力シート!$E$7)=1,基礎情報入力シート!$E$7&gt;作業・変換!H$49,基礎情報入力シート!$E$7&lt;作業・変換!H$46),"〇","／")</f>
        <v>／</v>
      </c>
      <c r="J26" s="202" t="str">
        <f>IF(AND(COUNT(基礎情報入力シート!$E$7)=1,基礎情報入力シート!$E$7&gt;作業・変換!I$49,基礎情報入力シート!$E$7&lt;作業・変換!I$46),"〇","／")</f>
        <v>／</v>
      </c>
      <c r="K26" s="202" t="str">
        <f>IF(AND(COUNT(基礎情報入力シート!$E$7)=1,基礎情報入力シート!$E$7&gt;作業・変換!J$49,基礎情報入力シート!$E$7&lt;作業・変換!J$46),"〇","／")</f>
        <v>／</v>
      </c>
      <c r="L26" s="202" t="str">
        <f>IF(AND(COUNT(基礎情報入力シート!$E$7)=1,基礎情報入力シート!$E$7&gt;作業・変換!K$49,基礎情報入力シート!$E$7&lt;作業・変換!K$46),"〇","／")</f>
        <v>／</v>
      </c>
      <c r="M26" s="202" t="str">
        <f>IF(AND(COUNT(基礎情報入力シート!$E$7)=1,基礎情報入力シート!$E$7&gt;作業・変換!L$49,基礎情報入力シート!$E$7&lt;作業・変換!L$46),"〇","／")</f>
        <v>／</v>
      </c>
      <c r="N26" s="202" t="str">
        <f>IF(AND(COUNT(基礎情報入力シート!$E$7)=1,基礎情報入力シート!$E$7&gt;作業・変換!M$49,基礎情報入力シート!$E$7&lt;作業・変換!M$46),"〇","／")</f>
        <v>／</v>
      </c>
      <c r="O26" s="203" t="str">
        <f>IF(AND(COUNT(基礎情報入力シート!$E$7)=1,基礎情報入力シート!$E$7&gt;作業・変換!N$49,基礎情報入力シート!$E$7&lt;作業・変換!N$46),"〇","／")</f>
        <v>／</v>
      </c>
      <c r="P26" s="61">
        <f>COUNTIF(D26:O26,"〇")</f>
        <v>0</v>
      </c>
      <c r="Q26" s="342">
        <f>ROUNDDOWN(K$25*税額計算情報!$C3*(P26/12),0)</f>
        <v>0</v>
      </c>
      <c r="R26" s="343"/>
      <c r="S26" s="50">
        <f>ROUNDDOWN(税額計算情報!B3*(1-基礎情報入力シート!$K$26/10)*(P26/12)*IF(基礎情報入力シート!$E$28=1,1-基礎情報入力シート!$K$28,1),0)</f>
        <v>0</v>
      </c>
      <c r="T26" s="51">
        <f>Q26+S26</f>
        <v>0</v>
      </c>
    </row>
    <row r="27" spans="1:20" x14ac:dyDescent="0.45">
      <c r="A27" s="358"/>
      <c r="B27" s="361"/>
      <c r="C27" s="52" t="str">
        <f>税額計算情報!A4</f>
        <v>支援金分</v>
      </c>
      <c r="D27" s="214" t="str">
        <f>IF(D26="〇","〇","／")</f>
        <v>／</v>
      </c>
      <c r="E27" s="214" t="str">
        <f t="shared" ref="E27" si="14">IF(E26="〇","〇","／")</f>
        <v>／</v>
      </c>
      <c r="F27" s="214" t="str">
        <f t="shared" ref="F27" si="15">IF(F26="〇","〇","／")</f>
        <v>／</v>
      </c>
      <c r="G27" s="214" t="str">
        <f t="shared" ref="G27" si="16">IF(G26="〇","〇","／")</f>
        <v>／</v>
      </c>
      <c r="H27" s="214" t="str">
        <f t="shared" ref="H27" si="17">IF(H26="〇","〇","／")</f>
        <v>／</v>
      </c>
      <c r="I27" s="214" t="str">
        <f t="shared" ref="I27" si="18">IF(I26="〇","〇","／")</f>
        <v>／</v>
      </c>
      <c r="J27" s="214" t="str">
        <f t="shared" ref="J27" si="19">IF(J26="〇","〇","／")</f>
        <v>／</v>
      </c>
      <c r="K27" s="214" t="str">
        <f t="shared" ref="K27" si="20">IF(K26="〇","〇","／")</f>
        <v>／</v>
      </c>
      <c r="L27" s="214" t="str">
        <f t="shared" ref="L27" si="21">IF(L26="〇","〇","／")</f>
        <v>／</v>
      </c>
      <c r="M27" s="214" t="str">
        <f t="shared" ref="M27" si="22">IF(M26="〇","〇","／")</f>
        <v>／</v>
      </c>
      <c r="N27" s="214" t="str">
        <f t="shared" ref="N27" si="23">IF(N26="〇","〇","／")</f>
        <v>／</v>
      </c>
      <c r="O27" s="215" t="str">
        <f t="shared" ref="O27" si="24">IF(O26="〇","〇","／")</f>
        <v>／</v>
      </c>
      <c r="P27" s="62">
        <f>COUNTIF(D27:O27,"〇")</f>
        <v>0</v>
      </c>
      <c r="Q27" s="336">
        <f>ROUNDDOWN(K$25*税額計算情報!$C4*(P27/12),0)</f>
        <v>0</v>
      </c>
      <c r="R27" s="337"/>
      <c r="S27" s="53">
        <f>ROUNDDOWN(税額計算情報!B4*(1-基礎情報入力シート!$K$26/10)*(P27/12)*IF(基礎情報入力シート!$E$28=1,1-基礎情報入力シート!$K$28,1),0)</f>
        <v>0</v>
      </c>
      <c r="T27" s="54">
        <f t="shared" ref="T27:T28" si="25">Q27+S27</f>
        <v>0</v>
      </c>
    </row>
    <row r="28" spans="1:20" ht="18.600000000000001" thickBot="1" x14ac:dyDescent="0.5">
      <c r="A28" s="359"/>
      <c r="B28" s="362"/>
      <c r="C28" s="55" t="str">
        <f>税額計算情報!A5</f>
        <v>介護分</v>
      </c>
      <c r="D28" s="216" t="str">
        <f>IF(AND(D26="〇",作業・変換!C$48&lt;基礎情報入力シート!$E$7,基礎情報入力シート!$E$7&lt;作業・変換!C$47),"〇","／")</f>
        <v>／</v>
      </c>
      <c r="E28" s="216" t="str">
        <f>IF(AND(E26="〇",作業・変換!D$48&lt;基礎情報入力シート!$E$7,基礎情報入力シート!$E$7&lt;作業・変換!D$47),"〇","／")</f>
        <v>／</v>
      </c>
      <c r="F28" s="216" t="str">
        <f>IF(AND(F26="〇",作業・変換!E$48&lt;基礎情報入力シート!$E$7,基礎情報入力シート!$E$7&lt;作業・変換!E$47),"〇","／")</f>
        <v>／</v>
      </c>
      <c r="G28" s="216" t="str">
        <f>IF(AND(G26="〇",作業・変換!F$48&lt;基礎情報入力シート!$E$7,基礎情報入力シート!$E$7&lt;作業・変換!F$47),"〇","／")</f>
        <v>／</v>
      </c>
      <c r="H28" s="216" t="str">
        <f>IF(AND(H26="〇",作業・変換!G$48&lt;基礎情報入力シート!$E$7,基礎情報入力シート!$E$7&lt;作業・変換!G$47),"〇","／")</f>
        <v>／</v>
      </c>
      <c r="I28" s="216" t="str">
        <f>IF(AND(I26="〇",作業・変換!H$48&lt;基礎情報入力シート!$E$7,基礎情報入力シート!$E$7&lt;作業・変換!H$47),"〇","／")</f>
        <v>／</v>
      </c>
      <c r="J28" s="216" t="str">
        <f>IF(AND(J26="〇",作業・変換!I$48&lt;基礎情報入力シート!$E$7,基礎情報入力シート!$E$7&lt;作業・変換!I$47),"〇","／")</f>
        <v>／</v>
      </c>
      <c r="K28" s="216" t="str">
        <f>IF(AND(K26="〇",作業・変換!J$48&lt;基礎情報入力シート!$E$7,基礎情報入力シート!$E$7&lt;作業・変換!J$47),"〇","／")</f>
        <v>／</v>
      </c>
      <c r="L28" s="216" t="str">
        <f>IF(AND(L26="〇",作業・変換!K$48&lt;基礎情報入力シート!$E$7,基礎情報入力シート!$E$7&lt;作業・変換!K$47),"〇","／")</f>
        <v>／</v>
      </c>
      <c r="M28" s="216" t="str">
        <f>IF(AND(M26="〇",作業・変換!L$48&lt;基礎情報入力シート!$E$7,基礎情報入力シート!$E$7&lt;作業・変換!L$47),"〇","／")</f>
        <v>／</v>
      </c>
      <c r="N28" s="216" t="str">
        <f>IF(AND(N26="〇",作業・変換!M$48&lt;基礎情報入力シート!$E$7,基礎情報入力シート!$E$7&lt;作業・変換!M$47),"〇","／")</f>
        <v>／</v>
      </c>
      <c r="O28" s="216" t="str">
        <f>IF(AND(O26="〇",作業・変換!N$48&lt;基礎情報入力シート!$E$7,基礎情報入力シート!$E$7&lt;作業・変換!N$47),"〇","／")</f>
        <v>／</v>
      </c>
      <c r="P28" s="63">
        <f>COUNTIF(D28:O28,"〇")</f>
        <v>0</v>
      </c>
      <c r="Q28" s="338">
        <f>ROUNDDOWN(K$25*税額計算情報!$C5*(P28/12),0)</f>
        <v>0</v>
      </c>
      <c r="R28" s="339"/>
      <c r="S28" s="56">
        <f>ROUNDDOWN(税額計算情報!B5*(1-基礎情報入力シート!$K$26/10)*(P28/12)*IF(基礎情報入力シート!$E$28=1,1-基礎情報入力シート!$K$28,1),0)</f>
        <v>0</v>
      </c>
      <c r="T28" s="57">
        <f t="shared" si="25"/>
        <v>0</v>
      </c>
    </row>
    <row r="29" spans="1:20" x14ac:dyDescent="0.45">
      <c r="A29" s="357" t="str">
        <f>基礎情報入力シート!F6</f>
        <v/>
      </c>
      <c r="B29" s="360" t="str">
        <f>IF(COUNT(基礎情報入力シート!$F$5)=1,基礎情報入力シート!$F$5,"-")</f>
        <v>-</v>
      </c>
      <c r="C29" s="374">
        <f>基礎情報入力シート!F7</f>
        <v>0</v>
      </c>
      <c r="D29" s="375"/>
      <c r="E29" s="376"/>
      <c r="F29" s="378" t="str">
        <f>基礎情報入力シート!$A$31&amp;"："</f>
        <v>所得割基礎額：</v>
      </c>
      <c r="G29" s="379"/>
      <c r="H29" s="379"/>
      <c r="I29" s="379"/>
      <c r="J29" s="379"/>
      <c r="K29" s="371">
        <f>基礎情報入力シート!$F$31</f>
        <v>0</v>
      </c>
      <c r="L29" s="372"/>
      <c r="M29" s="372"/>
      <c r="N29" s="372"/>
      <c r="O29" s="373"/>
      <c r="P29" s="35"/>
      <c r="Q29" s="340" t="str">
        <f>IF(基礎情報入力シート!F27,"非自発的失業者減免適用","＊＊＊＊＊")</f>
        <v>＊＊＊＊＊</v>
      </c>
      <c r="R29" s="341"/>
      <c r="S29" s="47" t="str">
        <f>IF(AND(基礎情報入力シート!$F$28=1,基礎情報入力シート!$K$28&gt;0),"未就学児軽減適用","＊＊＊＊＊")</f>
        <v>＊＊＊＊＊</v>
      </c>
      <c r="T29" s="34">
        <f>SUM(T30:T32)</f>
        <v>0</v>
      </c>
    </row>
    <row r="30" spans="1:20" x14ac:dyDescent="0.45">
      <c r="A30" s="358"/>
      <c r="B30" s="361"/>
      <c r="C30" s="49" t="str">
        <f>税額計算情報!A3</f>
        <v>医療分</v>
      </c>
      <c r="D30" s="202" t="str">
        <f>IF(AND(COUNT(基礎情報入力シート!$F$7)=1,基礎情報入力シート!$F$7&gt;作業・変換!C$49,基礎情報入力シート!$F$7&lt;作業・変換!C$46),"〇","／")</f>
        <v>／</v>
      </c>
      <c r="E30" s="202" t="str">
        <f>IF(AND(COUNT(基礎情報入力シート!$F$7)=1,基礎情報入力シート!$F$7&gt;作業・変換!D$49,基礎情報入力シート!$F$7&lt;作業・変換!D$46),"〇","／")</f>
        <v>／</v>
      </c>
      <c r="F30" s="202" t="str">
        <f>IF(AND(COUNT(基礎情報入力シート!$F$7)=1,基礎情報入力シート!$F$7&gt;作業・変換!E$49,基礎情報入力シート!$F$7&lt;作業・変換!E$46),"〇","／")</f>
        <v>／</v>
      </c>
      <c r="G30" s="202" t="str">
        <f>IF(AND(COUNT(基礎情報入力シート!$F$7)=1,基礎情報入力シート!$F$7&gt;作業・変換!F$49,基礎情報入力シート!$F$7&lt;作業・変換!F$46),"〇","／")</f>
        <v>／</v>
      </c>
      <c r="H30" s="202" t="str">
        <f>IF(AND(COUNT(基礎情報入力シート!$F$7)=1,基礎情報入力シート!$F$7&gt;作業・変換!G$49,基礎情報入力シート!$F$7&lt;作業・変換!G$46),"〇","／")</f>
        <v>／</v>
      </c>
      <c r="I30" s="202" t="str">
        <f>IF(AND(COUNT(基礎情報入力シート!$F$7)=1,基礎情報入力シート!$F$7&gt;作業・変換!H$49,基礎情報入力シート!$F$7&lt;作業・変換!H$46),"〇","／")</f>
        <v>／</v>
      </c>
      <c r="J30" s="202" t="str">
        <f>IF(AND(COUNT(基礎情報入力シート!$F$7)=1,基礎情報入力シート!$F$7&gt;作業・変換!I$49,基礎情報入力シート!$F$7&lt;作業・変換!I$46),"〇","／")</f>
        <v>／</v>
      </c>
      <c r="K30" s="202" t="str">
        <f>IF(AND(COUNT(基礎情報入力シート!$F$7)=1,基礎情報入力シート!$F$7&gt;作業・変換!J$49,基礎情報入力シート!$F$7&lt;作業・変換!J$46),"〇","／")</f>
        <v>／</v>
      </c>
      <c r="L30" s="202" t="str">
        <f>IF(AND(COUNT(基礎情報入力シート!$F$7)=1,基礎情報入力シート!$F$7&gt;作業・変換!K$49,基礎情報入力シート!$F$7&lt;作業・変換!K$46),"〇","／")</f>
        <v>／</v>
      </c>
      <c r="M30" s="202" t="str">
        <f>IF(AND(COUNT(基礎情報入力シート!$F$7)=1,基礎情報入力シート!$F$7&gt;作業・変換!L$49,基礎情報入力シート!$F$7&lt;作業・変換!L$46),"〇","／")</f>
        <v>／</v>
      </c>
      <c r="N30" s="202" t="str">
        <f>IF(AND(COUNT(基礎情報入力シート!$F$7)=1,基礎情報入力シート!$F$7&gt;作業・変換!M$49,基礎情報入力シート!$F$7&lt;作業・変換!M$46),"〇","／")</f>
        <v>／</v>
      </c>
      <c r="O30" s="204" t="str">
        <f>IF(AND(COUNT(基礎情報入力シート!$F$7)=1,基礎情報入力シート!$F$7&gt;作業・変換!N$49,基礎情報入力シート!$F$7&lt;作業・変換!N$46),"〇","／")</f>
        <v>／</v>
      </c>
      <c r="P30" s="61">
        <f>COUNTIF(D30:O30,"〇")</f>
        <v>0</v>
      </c>
      <c r="Q30" s="342">
        <f>ROUNDDOWN(K$29*税額計算情報!$C3*(P30/12),0)</f>
        <v>0</v>
      </c>
      <c r="R30" s="343"/>
      <c r="S30" s="50">
        <f>ROUNDDOWN(税額計算情報!B3*(1-基礎情報入力シート!$K$26/10)*(P30/12)*IF(基礎情報入力シート!$F$28=1,1-基礎情報入力シート!$K$28,1),0)</f>
        <v>0</v>
      </c>
      <c r="T30" s="51">
        <f>Q30+S30</f>
        <v>0</v>
      </c>
    </row>
    <row r="31" spans="1:20" x14ac:dyDescent="0.45">
      <c r="A31" s="358"/>
      <c r="B31" s="361"/>
      <c r="C31" s="52" t="str">
        <f>税額計算情報!A4</f>
        <v>支援金分</v>
      </c>
      <c r="D31" s="214" t="str">
        <f>IF(D30="〇","〇","／")</f>
        <v>／</v>
      </c>
      <c r="E31" s="214" t="str">
        <f t="shared" ref="E31" si="26">IF(E30="〇","〇","／")</f>
        <v>／</v>
      </c>
      <c r="F31" s="214" t="str">
        <f t="shared" ref="F31" si="27">IF(F30="〇","〇","／")</f>
        <v>／</v>
      </c>
      <c r="G31" s="214" t="str">
        <f t="shared" ref="G31" si="28">IF(G30="〇","〇","／")</f>
        <v>／</v>
      </c>
      <c r="H31" s="214" t="str">
        <f t="shared" ref="H31" si="29">IF(H30="〇","〇","／")</f>
        <v>／</v>
      </c>
      <c r="I31" s="214" t="str">
        <f t="shared" ref="I31" si="30">IF(I30="〇","〇","／")</f>
        <v>／</v>
      </c>
      <c r="J31" s="214" t="str">
        <f t="shared" ref="J31" si="31">IF(J30="〇","〇","／")</f>
        <v>／</v>
      </c>
      <c r="K31" s="214" t="str">
        <f t="shared" ref="K31" si="32">IF(K30="〇","〇","／")</f>
        <v>／</v>
      </c>
      <c r="L31" s="214" t="str">
        <f t="shared" ref="L31" si="33">IF(L30="〇","〇","／")</f>
        <v>／</v>
      </c>
      <c r="M31" s="214" t="str">
        <f t="shared" ref="M31" si="34">IF(M30="〇","〇","／")</f>
        <v>／</v>
      </c>
      <c r="N31" s="214" t="str">
        <f t="shared" ref="N31" si="35">IF(N30="〇","〇","／")</f>
        <v>／</v>
      </c>
      <c r="O31" s="215" t="str">
        <f t="shared" ref="O31" si="36">IF(O30="〇","〇","／")</f>
        <v>／</v>
      </c>
      <c r="P31" s="62">
        <f>COUNTIF(D31:O31,"〇")</f>
        <v>0</v>
      </c>
      <c r="Q31" s="336">
        <f>ROUNDDOWN(K$29*税額計算情報!$C4*(P31/12),0)</f>
        <v>0</v>
      </c>
      <c r="R31" s="337"/>
      <c r="S31" s="53">
        <f>ROUNDDOWN(税額計算情報!B4*(1-基礎情報入力シート!$K$26/10)*(P31/12)*IF(基礎情報入力シート!$F$28=1,1-基礎情報入力シート!$K$28,1),0)</f>
        <v>0</v>
      </c>
      <c r="T31" s="54">
        <f t="shared" ref="T31:T32" si="37">Q31+S31</f>
        <v>0</v>
      </c>
    </row>
    <row r="32" spans="1:20" ht="18.600000000000001" thickBot="1" x14ac:dyDescent="0.5">
      <c r="A32" s="359"/>
      <c r="B32" s="362"/>
      <c r="C32" s="55" t="str">
        <f>税額計算情報!A5</f>
        <v>介護分</v>
      </c>
      <c r="D32" s="216" t="str">
        <f>IF(AND(D30="〇",作業・変換!C$48&lt;基礎情報入力シート!$F$7,基礎情報入力シート!$F$7&lt;作業・変換!C$47),"〇","／")</f>
        <v>／</v>
      </c>
      <c r="E32" s="216" t="str">
        <f>IF(AND(E30="〇",作業・変換!D$48&lt;基礎情報入力シート!$F$7,基礎情報入力シート!$F$7&lt;作業・変換!D$47),"〇","／")</f>
        <v>／</v>
      </c>
      <c r="F32" s="216" t="str">
        <f>IF(AND(F30="〇",作業・変換!E$48&lt;基礎情報入力シート!$F$7,基礎情報入力シート!$F$7&lt;作業・変換!E$47),"〇","／")</f>
        <v>／</v>
      </c>
      <c r="G32" s="216" t="str">
        <f>IF(AND(G30="〇",作業・変換!F$48&lt;基礎情報入力シート!$F$7,基礎情報入力シート!$F$7&lt;作業・変換!F$47),"〇","／")</f>
        <v>／</v>
      </c>
      <c r="H32" s="216" t="str">
        <f>IF(AND(H30="〇",作業・変換!G$48&lt;基礎情報入力シート!$F$7,基礎情報入力シート!$F$7&lt;作業・変換!G$47),"〇","／")</f>
        <v>／</v>
      </c>
      <c r="I32" s="216" t="str">
        <f>IF(AND(I30="〇",作業・変換!H$48&lt;基礎情報入力シート!$F$7,基礎情報入力シート!$F$7&lt;作業・変換!H$47),"〇","／")</f>
        <v>／</v>
      </c>
      <c r="J32" s="216" t="str">
        <f>IF(AND(J30="〇",作業・変換!I$48&lt;基礎情報入力シート!$F$7,基礎情報入力シート!$F$7&lt;作業・変換!I$47),"〇","／")</f>
        <v>／</v>
      </c>
      <c r="K32" s="216" t="str">
        <f>IF(AND(K30="〇",作業・変換!J$48&lt;基礎情報入力シート!$F$7,基礎情報入力シート!$F$7&lt;作業・変換!J$47),"〇","／")</f>
        <v>／</v>
      </c>
      <c r="L32" s="216" t="str">
        <f>IF(AND(L30="〇",作業・変換!K$48&lt;基礎情報入力シート!$F$7,基礎情報入力シート!$F$7&lt;作業・変換!K$47),"〇","／")</f>
        <v>／</v>
      </c>
      <c r="M32" s="216" t="str">
        <f>IF(AND(M30="〇",作業・変換!L$48&lt;基礎情報入力シート!$F$7,基礎情報入力シート!$F$7&lt;作業・変換!L$47),"〇","／")</f>
        <v>／</v>
      </c>
      <c r="N32" s="216" t="str">
        <f>IF(AND(N30="〇",作業・変換!M$48&lt;基礎情報入力シート!$F$7,基礎情報入力シート!$F$7&lt;作業・変換!M$47),"〇","／")</f>
        <v>／</v>
      </c>
      <c r="O32" s="217" t="str">
        <f>IF(AND(O30="〇",作業・変換!N$48&lt;基礎情報入力シート!$F$7,基礎情報入力シート!$F$7&lt;作業・変換!N$47),"〇","／")</f>
        <v>／</v>
      </c>
      <c r="P32" s="63">
        <f>COUNTIF(D32:O32,"〇")</f>
        <v>0</v>
      </c>
      <c r="Q32" s="338">
        <f>ROUNDDOWN(K$29*税額計算情報!$C5*(P32/12),0)</f>
        <v>0</v>
      </c>
      <c r="R32" s="339"/>
      <c r="S32" s="56">
        <f>ROUNDDOWN(税額計算情報!B5*(1-基礎情報入力シート!$K$26/10)*(P32/12)*IF(基礎情報入力シート!$F$28=1,1-基礎情報入力シート!$K$28,1),0)</f>
        <v>0</v>
      </c>
      <c r="T32" s="57">
        <f t="shared" si="37"/>
        <v>0</v>
      </c>
    </row>
    <row r="33" spans="1:20" x14ac:dyDescent="0.45">
      <c r="A33" s="357" t="str">
        <f>基礎情報入力シート!G6</f>
        <v/>
      </c>
      <c r="B33" s="360" t="str">
        <f>IF(COUNT(基礎情報入力シート!$G$5)=1,基礎情報入力シート!$G$5,"-")</f>
        <v>-</v>
      </c>
      <c r="C33" s="374">
        <f>基礎情報入力シート!G7</f>
        <v>0</v>
      </c>
      <c r="D33" s="375"/>
      <c r="E33" s="376"/>
      <c r="F33" s="378" t="str">
        <f>基礎情報入力シート!$A$31&amp;"："</f>
        <v>所得割基礎額：</v>
      </c>
      <c r="G33" s="379"/>
      <c r="H33" s="379"/>
      <c r="I33" s="379"/>
      <c r="J33" s="379"/>
      <c r="K33" s="371">
        <f>基礎情報入力シート!$G$31</f>
        <v>0</v>
      </c>
      <c r="L33" s="372"/>
      <c r="M33" s="372"/>
      <c r="N33" s="372"/>
      <c r="O33" s="373"/>
      <c r="P33" s="42"/>
      <c r="Q33" s="340" t="str">
        <f>IF(基礎情報入力シート!G27,"非自発的失業者減免適用","＊＊＊＊＊")</f>
        <v>＊＊＊＊＊</v>
      </c>
      <c r="R33" s="341"/>
      <c r="S33" s="47" t="str">
        <f>IF(AND(基礎情報入力シート!$G$28=1,基礎情報入力シート!$K$28&gt;0),"未就学児軽減適用","＊＊＊＊＊")</f>
        <v>＊＊＊＊＊</v>
      </c>
      <c r="T33" s="36">
        <f>SUM(T34:T36)</f>
        <v>0</v>
      </c>
    </row>
    <row r="34" spans="1:20" x14ac:dyDescent="0.45">
      <c r="A34" s="358"/>
      <c r="B34" s="361"/>
      <c r="C34" s="49" t="str">
        <f>税額計算情報!A3</f>
        <v>医療分</v>
      </c>
      <c r="D34" s="202" t="str">
        <f>IF(AND(COUNT(基礎情報入力シート!$G$7)=1,基礎情報入力シート!$G$7&gt;作業・変換!C$49,基礎情報入力シート!$G$7&lt;作業・変換!C$46),"〇","／")</f>
        <v>／</v>
      </c>
      <c r="E34" s="202" t="str">
        <f>IF(AND(COUNT(基礎情報入力シート!$G$7)=1,基礎情報入力シート!$G$7&gt;作業・変換!D$49,基礎情報入力シート!$G$7&lt;作業・変換!D$46),"〇","／")</f>
        <v>／</v>
      </c>
      <c r="F34" s="202" t="str">
        <f>IF(AND(COUNT(基礎情報入力シート!$G$7)=1,基礎情報入力シート!$G$7&gt;作業・変換!E$49,基礎情報入力シート!$G$7&lt;作業・変換!E$46),"〇","／")</f>
        <v>／</v>
      </c>
      <c r="G34" s="202" t="str">
        <f>IF(AND(COUNT(基礎情報入力シート!$G$7)=1,基礎情報入力シート!$G$7&gt;作業・変換!F$49,基礎情報入力シート!$G$7&lt;作業・変換!F$46),"〇","／")</f>
        <v>／</v>
      </c>
      <c r="H34" s="202" t="str">
        <f>IF(AND(COUNT(基礎情報入力シート!$G$7)=1,基礎情報入力シート!$G$7&gt;作業・変換!G$49,基礎情報入力シート!$G$7&lt;作業・変換!G$46),"〇","／")</f>
        <v>／</v>
      </c>
      <c r="I34" s="202" t="str">
        <f>IF(AND(COUNT(基礎情報入力シート!$G$7)=1,基礎情報入力シート!$G$7&gt;作業・変換!H$49,基礎情報入力シート!$G$7&lt;作業・変換!H$46),"〇","／")</f>
        <v>／</v>
      </c>
      <c r="J34" s="202" t="str">
        <f>IF(AND(COUNT(基礎情報入力シート!$G$7)=1,基礎情報入力シート!$G$7&gt;作業・変換!I$49,基礎情報入力シート!$G$7&lt;作業・変換!I$46),"〇","／")</f>
        <v>／</v>
      </c>
      <c r="K34" s="202" t="str">
        <f>IF(AND(COUNT(基礎情報入力シート!$G$7)=1,基礎情報入力シート!$G$7&gt;作業・変換!J$49,基礎情報入力シート!$G$7&lt;作業・変換!J$46),"〇","／")</f>
        <v>／</v>
      </c>
      <c r="L34" s="202" t="str">
        <f>IF(AND(COUNT(基礎情報入力シート!$G$7)=1,基礎情報入力シート!$G$7&gt;作業・変換!K$49,基礎情報入力シート!$G$7&lt;作業・変換!K$46),"〇","／")</f>
        <v>／</v>
      </c>
      <c r="M34" s="202" t="str">
        <f>IF(AND(COUNT(基礎情報入力シート!$G$7)=1,基礎情報入力シート!$G$7&gt;作業・変換!L$49,基礎情報入力シート!$G$7&lt;作業・変換!L$46),"〇","／")</f>
        <v>／</v>
      </c>
      <c r="N34" s="202" t="str">
        <f>IF(AND(COUNT(基礎情報入力シート!$G$7)=1,基礎情報入力シート!$G$7&gt;作業・変換!M$49,基礎情報入力シート!$G$7&lt;作業・変換!M$46),"〇","／")</f>
        <v>／</v>
      </c>
      <c r="O34" s="204" t="str">
        <f>IF(AND(COUNT(基礎情報入力シート!$G$7)=1,基礎情報入力シート!$G$7&gt;作業・変換!N$49,基礎情報入力シート!$G$7&lt;作業・変換!N$46),"〇","／")</f>
        <v>／</v>
      </c>
      <c r="P34" s="64">
        <f>COUNTIF(D34:O34,"〇")</f>
        <v>0</v>
      </c>
      <c r="Q34" s="342">
        <f>ROUNDDOWN(K$33*税額計算情報!$C3*(P34/12),0)</f>
        <v>0</v>
      </c>
      <c r="R34" s="343"/>
      <c r="S34" s="50">
        <f>ROUNDDOWN(税額計算情報!B3*(1-基礎情報入力シート!$K$26/10)*(P34/12)*IF(基礎情報入力シート!$G$28=1,1-基礎情報入力シート!$K$28,1),0)</f>
        <v>0</v>
      </c>
      <c r="T34" s="58">
        <f>Q34+S34</f>
        <v>0</v>
      </c>
    </row>
    <row r="35" spans="1:20" x14ac:dyDescent="0.45">
      <c r="A35" s="358"/>
      <c r="B35" s="361"/>
      <c r="C35" s="52" t="str">
        <f>税額計算情報!A4</f>
        <v>支援金分</v>
      </c>
      <c r="D35" s="214" t="str">
        <f>IF(D34="〇","〇","／")</f>
        <v>／</v>
      </c>
      <c r="E35" s="214" t="str">
        <f t="shared" ref="E35" si="38">IF(E34="〇","〇","／")</f>
        <v>／</v>
      </c>
      <c r="F35" s="214" t="str">
        <f t="shared" ref="F35" si="39">IF(F34="〇","〇","／")</f>
        <v>／</v>
      </c>
      <c r="G35" s="214" t="str">
        <f t="shared" ref="G35" si="40">IF(G34="〇","〇","／")</f>
        <v>／</v>
      </c>
      <c r="H35" s="214" t="str">
        <f t="shared" ref="H35" si="41">IF(H34="〇","〇","／")</f>
        <v>／</v>
      </c>
      <c r="I35" s="214" t="str">
        <f t="shared" ref="I35" si="42">IF(I34="〇","〇","／")</f>
        <v>／</v>
      </c>
      <c r="J35" s="214" t="str">
        <f t="shared" ref="J35" si="43">IF(J34="〇","〇","／")</f>
        <v>／</v>
      </c>
      <c r="K35" s="214" t="str">
        <f t="shared" ref="K35" si="44">IF(K34="〇","〇","／")</f>
        <v>／</v>
      </c>
      <c r="L35" s="214" t="str">
        <f t="shared" ref="L35" si="45">IF(L34="〇","〇","／")</f>
        <v>／</v>
      </c>
      <c r="M35" s="214" t="str">
        <f t="shared" ref="M35" si="46">IF(M34="〇","〇","／")</f>
        <v>／</v>
      </c>
      <c r="N35" s="214" t="str">
        <f t="shared" ref="N35" si="47">IF(N34="〇","〇","／")</f>
        <v>／</v>
      </c>
      <c r="O35" s="218" t="str">
        <f t="shared" ref="O35" si="48">IF(O34="〇","〇","／")</f>
        <v>／</v>
      </c>
      <c r="P35" s="65">
        <f>COUNTIF(D35:O35,"〇")</f>
        <v>0</v>
      </c>
      <c r="Q35" s="336">
        <f>ROUNDDOWN(K$33*税額計算情報!$C4*(P35/12),0)</f>
        <v>0</v>
      </c>
      <c r="R35" s="337"/>
      <c r="S35" s="53">
        <f>ROUNDDOWN(税額計算情報!B4*(1-基礎情報入力シート!$K$26/10)*(P35/12)*IF(基礎情報入力シート!$G$28=1,1-基礎情報入力シート!$K$28,1),0)</f>
        <v>0</v>
      </c>
      <c r="T35" s="59">
        <f t="shared" ref="T35:T36" si="49">Q35+S35</f>
        <v>0</v>
      </c>
    </row>
    <row r="36" spans="1:20" ht="18.600000000000001" thickBot="1" x14ac:dyDescent="0.5">
      <c r="A36" s="377"/>
      <c r="B36" s="362"/>
      <c r="C36" s="55" t="str">
        <f>税額計算情報!A5</f>
        <v>介護分</v>
      </c>
      <c r="D36" s="216" t="str">
        <f>IF(AND(D34="〇",作業・変換!C$48&lt;基礎情報入力シート!$G$7,基礎情報入力シート!$G$7&lt;作業・変換!C$47),"〇","／")</f>
        <v>／</v>
      </c>
      <c r="E36" s="216" t="str">
        <f>IF(AND(E34="〇",作業・変換!D$48&lt;基礎情報入力シート!$G$7,基礎情報入力シート!$G$7&lt;作業・変換!D$47),"〇","／")</f>
        <v>／</v>
      </c>
      <c r="F36" s="216" t="str">
        <f>IF(AND(F34="〇",作業・変換!E$48&lt;基礎情報入力シート!$G$7,基礎情報入力シート!$G$7&lt;作業・変換!E$47),"〇","／")</f>
        <v>／</v>
      </c>
      <c r="G36" s="216" t="str">
        <f>IF(AND(G34="〇",作業・変換!F$48&lt;基礎情報入力シート!$G$7,基礎情報入力シート!$G$7&lt;作業・変換!F$47),"〇","／")</f>
        <v>／</v>
      </c>
      <c r="H36" s="216" t="str">
        <f>IF(AND(H34="〇",作業・変換!G$48&lt;基礎情報入力シート!$G$7,基礎情報入力シート!$G$7&lt;作業・変換!G$47),"〇","／")</f>
        <v>／</v>
      </c>
      <c r="I36" s="216" t="str">
        <f>IF(AND(I34="〇",作業・変換!H$48&lt;基礎情報入力シート!$G$7,基礎情報入力シート!$G$7&lt;作業・変換!H$47),"〇","／")</f>
        <v>／</v>
      </c>
      <c r="J36" s="216" t="str">
        <f>IF(AND(J34="〇",作業・変換!I$48&lt;基礎情報入力シート!$G$7,基礎情報入力シート!$G$7&lt;作業・変換!I$47),"〇","／")</f>
        <v>／</v>
      </c>
      <c r="K36" s="216" t="str">
        <f>IF(AND(K34="〇",作業・変換!J$48&lt;基礎情報入力シート!$G$7,基礎情報入力シート!$G$7&lt;作業・変換!J$47),"〇","／")</f>
        <v>／</v>
      </c>
      <c r="L36" s="216" t="str">
        <f>IF(AND(L34="〇",作業・変換!K$48&lt;基礎情報入力シート!$G$7,基礎情報入力シート!$G$7&lt;作業・変換!K$47),"〇","／")</f>
        <v>／</v>
      </c>
      <c r="M36" s="216" t="str">
        <f>IF(AND(M34="〇",作業・変換!L$48&lt;基礎情報入力シート!$G$7,基礎情報入力シート!$G$7&lt;作業・変換!L$47),"〇","／")</f>
        <v>／</v>
      </c>
      <c r="N36" s="216" t="str">
        <f>IF(AND(N34="〇",作業・変換!M$48&lt;基礎情報入力シート!$G$7,基礎情報入力シート!$G$7&lt;作業・変換!M$47),"〇","／")</f>
        <v>／</v>
      </c>
      <c r="O36" s="217" t="str">
        <f>IF(AND(O34="〇",作業・変換!N$48&lt;基礎情報入力シート!$G$7,基礎情報入力シート!$G$7&lt;作業・変換!N$47),"〇","／")</f>
        <v>／</v>
      </c>
      <c r="P36" s="66">
        <f>COUNTIF(D36:O36,"〇")</f>
        <v>0</v>
      </c>
      <c r="Q36" s="338">
        <f>ROUNDDOWN(K$33*税額計算情報!$C5*(P36/12),0)</f>
        <v>0</v>
      </c>
      <c r="R36" s="339"/>
      <c r="S36" s="56">
        <f>ROUNDDOWN(税額計算情報!B5*(1-基礎情報入力シート!$K$26/10)*(P36/12)*IF(基礎情報入力シート!$G$28=1,1-基礎情報入力シート!$K$28,1),0)</f>
        <v>0</v>
      </c>
      <c r="T36" s="60">
        <f t="shared" si="49"/>
        <v>0</v>
      </c>
    </row>
  </sheetData>
  <sheetProtection algorithmName="SHA-512" hashValue="9HiTLaMV1H0Q81eYDOoPQkBlT4HwgZ76OilzRp6k1AIcGLARwSRrahv1ALcGFCpTAl/ugKlFs11TWQxJVBziJA==" saltValue="Qk5Fd8xqVLSmnA+Q3bi2ng==" spinCount="100000" sheet="1" objects="1" scenarios="1"/>
  <mergeCells count="103">
    <mergeCell ref="S4:S5"/>
    <mergeCell ref="T4:T5"/>
    <mergeCell ref="S6:S7"/>
    <mergeCell ref="T6:T7"/>
    <mergeCell ref="S8:S9"/>
    <mergeCell ref="T8:T9"/>
    <mergeCell ref="A1:P1"/>
    <mergeCell ref="A12:P12"/>
    <mergeCell ref="D7:F7"/>
    <mergeCell ref="G7:I7"/>
    <mergeCell ref="J7:L7"/>
    <mergeCell ref="M7:O7"/>
    <mergeCell ref="D8:F8"/>
    <mergeCell ref="G8:I8"/>
    <mergeCell ref="J8:L8"/>
    <mergeCell ref="M8:O8"/>
    <mergeCell ref="B9:C9"/>
    <mergeCell ref="D3:F3"/>
    <mergeCell ref="G3:I3"/>
    <mergeCell ref="A3:C3"/>
    <mergeCell ref="D5:F5"/>
    <mergeCell ref="G5:I5"/>
    <mergeCell ref="J5:L5"/>
    <mergeCell ref="M5:O5"/>
    <mergeCell ref="J3:L3"/>
    <mergeCell ref="M3:O3"/>
    <mergeCell ref="D4:F4"/>
    <mergeCell ref="G4:I4"/>
    <mergeCell ref="J4:L4"/>
    <mergeCell ref="M4:O4"/>
    <mergeCell ref="A4:A5"/>
    <mergeCell ref="A6:A7"/>
    <mergeCell ref="A8:A9"/>
    <mergeCell ref="B7:C7"/>
    <mergeCell ref="B8:C8"/>
    <mergeCell ref="B4:C4"/>
    <mergeCell ref="B5:C5"/>
    <mergeCell ref="B6:C6"/>
    <mergeCell ref="M6:O6"/>
    <mergeCell ref="D6:F6"/>
    <mergeCell ref="G6:I6"/>
    <mergeCell ref="J6:L6"/>
    <mergeCell ref="F33:J33"/>
    <mergeCell ref="F29:J29"/>
    <mergeCell ref="F25:J25"/>
    <mergeCell ref="F21:J21"/>
    <mergeCell ref="D9:F9"/>
    <mergeCell ref="G9:I9"/>
    <mergeCell ref="J9:L9"/>
    <mergeCell ref="M9:O9"/>
    <mergeCell ref="F17:J17"/>
    <mergeCell ref="B10:P10"/>
    <mergeCell ref="P14:P16"/>
    <mergeCell ref="A17:A20"/>
    <mergeCell ref="B17:B20"/>
    <mergeCell ref="D14:O15"/>
    <mergeCell ref="A14:A16"/>
    <mergeCell ref="B14:B16"/>
    <mergeCell ref="C14:C16"/>
    <mergeCell ref="K17:O17"/>
    <mergeCell ref="C33:E33"/>
    <mergeCell ref="C29:E29"/>
    <mergeCell ref="C25:E25"/>
    <mergeCell ref="C21:E21"/>
    <mergeCell ref="C17:E17"/>
    <mergeCell ref="A33:A36"/>
    <mergeCell ref="B33:B36"/>
    <mergeCell ref="A21:A24"/>
    <mergeCell ref="B21:B24"/>
    <mergeCell ref="A25:A28"/>
    <mergeCell ref="B25:B28"/>
    <mergeCell ref="A29:A32"/>
    <mergeCell ref="B29:B32"/>
    <mergeCell ref="K33:O33"/>
    <mergeCell ref="K29:O29"/>
    <mergeCell ref="K25:O25"/>
    <mergeCell ref="K21:O21"/>
    <mergeCell ref="Q14:Q16"/>
    <mergeCell ref="Q17:R17"/>
    <mergeCell ref="Q18:R18"/>
    <mergeCell ref="Q19:R19"/>
    <mergeCell ref="Q20:R20"/>
    <mergeCell ref="Q4:R5"/>
    <mergeCell ref="Q6:R7"/>
    <mergeCell ref="Q8:R9"/>
    <mergeCell ref="Q3:R3"/>
    <mergeCell ref="Q10:R10"/>
    <mergeCell ref="Q35:R35"/>
    <mergeCell ref="Q36:R36"/>
    <mergeCell ref="Q21:R21"/>
    <mergeCell ref="Q25:R25"/>
    <mergeCell ref="Q29:R29"/>
    <mergeCell ref="Q33:R33"/>
    <mergeCell ref="Q28:R28"/>
    <mergeCell ref="Q30:R30"/>
    <mergeCell ref="Q31:R31"/>
    <mergeCell ref="Q32:R32"/>
    <mergeCell ref="Q34:R34"/>
    <mergeCell ref="Q22:R22"/>
    <mergeCell ref="Q23:R23"/>
    <mergeCell ref="Q24:R24"/>
    <mergeCell ref="Q26:R26"/>
    <mergeCell ref="Q27:R27"/>
  </mergeCells>
  <phoneticPr fontId="3"/>
  <conditionalFormatting sqref="T4:T9">
    <cfRule type="cellIs" dxfId="0" priority="1" operator="equal">
      <formula>"課税限度額超過のため、課税限度額が確定税額です。"</formula>
    </cfRule>
  </conditionalFormatting>
  <printOptions horizontalCentered="1" verticalCentered="1"/>
  <pageMargins left="0.51181102362204722" right="0.51181102362204722" top="0.55118110236220474" bottom="0.35433070866141736" header="0.31496062992125984" footer="0.31496062992125984"/>
  <pageSetup paperSize="9"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4"/>
  <sheetViews>
    <sheetView workbookViewId="0">
      <selection activeCell="A77" sqref="A77"/>
    </sheetView>
  </sheetViews>
  <sheetFormatPr defaultRowHeight="18" x14ac:dyDescent="0.45"/>
  <sheetData>
    <row r="1" spans="1:1" ht="28.2" x14ac:dyDescent="0.45">
      <c r="A1" s="207" t="s">
        <v>142</v>
      </c>
    </row>
    <row r="56" spans="1:1" ht="28.2" x14ac:dyDescent="0.45">
      <c r="A56" s="207" t="s">
        <v>143</v>
      </c>
    </row>
    <row r="78" spans="1:1" ht="28.2" x14ac:dyDescent="0.45">
      <c r="A78" s="207" t="s">
        <v>144</v>
      </c>
    </row>
    <row r="103" spans="1:15" x14ac:dyDescent="0.45">
      <c r="A103" s="206"/>
      <c r="B103" s="206"/>
      <c r="C103" s="206"/>
      <c r="D103" s="206"/>
      <c r="E103" s="206"/>
      <c r="F103" s="206"/>
      <c r="G103" s="206"/>
      <c r="H103" s="206"/>
      <c r="I103" s="206"/>
      <c r="J103" s="206"/>
      <c r="K103" s="206"/>
      <c r="L103" s="206"/>
      <c r="M103" s="206"/>
      <c r="N103" s="206"/>
      <c r="O103" s="206"/>
    </row>
    <row r="104" spans="1:15" x14ac:dyDescent="0.45">
      <c r="A104" s="208"/>
      <c r="B104" s="206"/>
      <c r="C104" s="206"/>
      <c r="D104" s="206"/>
      <c r="E104" s="206"/>
      <c r="F104" s="206"/>
      <c r="G104" s="206"/>
      <c r="H104" s="206"/>
      <c r="I104" s="206"/>
      <c r="J104" s="206"/>
      <c r="K104" s="206"/>
      <c r="L104" s="206"/>
      <c r="M104" s="206"/>
      <c r="N104" s="206"/>
      <c r="O104" s="206"/>
    </row>
    <row r="105" spans="1:15" x14ac:dyDescent="0.45">
      <c r="A105" s="209"/>
      <c r="B105" s="206"/>
      <c r="C105" s="206"/>
      <c r="D105" s="206"/>
      <c r="E105" s="206"/>
      <c r="F105" s="206"/>
      <c r="G105" s="206"/>
      <c r="H105" s="206"/>
      <c r="I105" s="206"/>
      <c r="J105" s="206"/>
      <c r="K105" s="206"/>
      <c r="L105" s="206"/>
      <c r="M105" s="206"/>
      <c r="N105" s="206"/>
      <c r="O105" s="206"/>
    </row>
    <row r="106" spans="1:15" x14ac:dyDescent="0.45">
      <c r="A106" s="209"/>
      <c r="B106" s="206"/>
      <c r="C106" s="206"/>
      <c r="D106" s="206"/>
      <c r="E106" s="206"/>
      <c r="F106" s="206"/>
      <c r="G106" s="206"/>
      <c r="H106" s="206"/>
      <c r="I106" s="206"/>
      <c r="J106" s="206"/>
      <c r="K106" s="206"/>
      <c r="L106" s="206"/>
      <c r="M106" s="206"/>
      <c r="N106" s="206"/>
      <c r="O106" s="206"/>
    </row>
    <row r="107" spans="1:15" x14ac:dyDescent="0.45">
      <c r="A107" s="206"/>
      <c r="B107" s="206"/>
      <c r="C107" s="206"/>
      <c r="D107" s="206"/>
      <c r="E107" s="206"/>
      <c r="F107" s="206"/>
      <c r="G107" s="206"/>
      <c r="H107" s="206"/>
      <c r="I107" s="206"/>
      <c r="J107" s="206"/>
      <c r="K107" s="206"/>
      <c r="L107" s="206"/>
      <c r="M107" s="206"/>
      <c r="N107" s="206"/>
      <c r="O107" s="206"/>
    </row>
    <row r="108" spans="1:15" x14ac:dyDescent="0.45">
      <c r="A108" s="206"/>
      <c r="B108" s="206"/>
      <c r="C108" s="206"/>
      <c r="D108" s="206"/>
      <c r="E108" s="206"/>
      <c r="F108" s="206"/>
      <c r="G108" s="206"/>
      <c r="H108" s="206"/>
      <c r="I108" s="206"/>
      <c r="J108" s="206"/>
      <c r="K108" s="206"/>
      <c r="L108" s="206"/>
      <c r="M108" s="206"/>
      <c r="N108" s="206"/>
      <c r="O108" s="206"/>
    </row>
    <row r="109" spans="1:15" x14ac:dyDescent="0.45">
      <c r="A109" s="206"/>
      <c r="B109" s="206"/>
      <c r="C109" s="206"/>
      <c r="D109" s="206"/>
      <c r="E109" s="206"/>
      <c r="F109" s="206"/>
      <c r="G109" s="206"/>
      <c r="H109" s="206"/>
      <c r="I109" s="206"/>
      <c r="J109" s="206"/>
      <c r="K109" s="206"/>
      <c r="L109" s="206"/>
      <c r="M109" s="206"/>
      <c r="N109" s="206"/>
      <c r="O109" s="206"/>
    </row>
    <row r="110" spans="1:15" x14ac:dyDescent="0.45">
      <c r="A110" s="206"/>
      <c r="B110" s="206"/>
      <c r="C110" s="206"/>
      <c r="D110" s="206"/>
      <c r="E110" s="206"/>
      <c r="F110" s="206"/>
      <c r="G110" s="206"/>
      <c r="H110" s="206"/>
      <c r="I110" s="206"/>
      <c r="J110" s="206"/>
      <c r="K110" s="206"/>
      <c r="L110" s="206"/>
      <c r="M110" s="206"/>
      <c r="N110" s="206"/>
      <c r="O110" s="206"/>
    </row>
    <row r="111" spans="1:15" x14ac:dyDescent="0.45">
      <c r="A111" s="206"/>
      <c r="B111" s="206"/>
      <c r="C111" s="206"/>
      <c r="D111" s="206"/>
      <c r="E111" s="206"/>
      <c r="F111" s="206"/>
      <c r="G111" s="206"/>
      <c r="H111" s="206"/>
      <c r="I111" s="206"/>
      <c r="J111" s="206"/>
      <c r="K111" s="206"/>
      <c r="L111" s="206"/>
      <c r="M111" s="206"/>
      <c r="N111" s="206"/>
      <c r="O111" s="206"/>
    </row>
    <row r="112" spans="1:15" x14ac:dyDescent="0.45">
      <c r="A112" s="206"/>
      <c r="B112" s="206"/>
      <c r="C112" s="206"/>
      <c r="D112" s="206"/>
      <c r="E112" s="206"/>
      <c r="F112" s="206"/>
      <c r="G112" s="206"/>
      <c r="H112" s="206"/>
      <c r="I112" s="206"/>
      <c r="J112" s="208"/>
      <c r="K112" s="206"/>
      <c r="L112" s="206"/>
      <c r="M112" s="206"/>
      <c r="N112" s="206"/>
      <c r="O112" s="206"/>
    </row>
    <row r="113" spans="1:15" x14ac:dyDescent="0.45">
      <c r="A113" s="206"/>
      <c r="B113" s="206"/>
      <c r="C113" s="206"/>
      <c r="D113" s="206"/>
      <c r="E113" s="206"/>
      <c r="F113" s="206"/>
      <c r="G113" s="206"/>
      <c r="H113" s="206"/>
      <c r="I113" s="206"/>
      <c r="J113" s="206"/>
      <c r="K113" s="206"/>
      <c r="L113" s="206"/>
      <c r="M113" s="206"/>
      <c r="N113" s="206"/>
      <c r="O113" s="206"/>
    </row>
    <row r="114" spans="1:15" x14ac:dyDescent="0.45">
      <c r="A114" s="206"/>
      <c r="B114" s="206"/>
      <c r="C114" s="206"/>
      <c r="D114" s="206"/>
      <c r="E114" s="206"/>
      <c r="F114" s="206"/>
      <c r="G114" s="206"/>
      <c r="H114" s="206"/>
      <c r="I114" s="206"/>
      <c r="J114" s="206"/>
      <c r="K114" s="206"/>
      <c r="L114" s="206"/>
      <c r="M114" s="206"/>
      <c r="N114" s="206"/>
      <c r="O114" s="206"/>
    </row>
  </sheetData>
  <sheetProtection algorithmName="SHA-512" hashValue="lEWzolBBtEXKbZyRSDgga4tJ1S0PMNqvYoCfKfWvcCTLeE8Bord6+yyCwTWPiQx4QxGt3Gxs5huGBdphIyLNLA==" saltValue="jeAcZQYTkN+bsrtC6rxVlQ==" spinCount="100000" sheet="1" objects="1" scenarios="1"/>
  <phoneticPr fontId="3"/>
  <pageMargins left="0.70866141732283472" right="0.70866141732283472" top="0.74803149606299213" bottom="0.74803149606299213" header="0.31496062992125984" footer="0.31496062992125984"/>
  <pageSetup paperSize="9" scale="70" fitToHeight="2" orientation="portrait" verticalDpi="0" r:id="rId1"/>
  <rowBreaks count="1" manualBreakCount="1">
    <brk id="5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E1" sqref="E1"/>
    </sheetView>
  </sheetViews>
  <sheetFormatPr defaultRowHeight="18" x14ac:dyDescent="0.45"/>
  <cols>
    <col min="1" max="1" width="22.5" bestFit="1" customWidth="1"/>
    <col min="3" max="3" width="11" bestFit="1" customWidth="1"/>
    <col min="4" max="4" width="11" customWidth="1"/>
    <col min="6" max="6" width="17.19921875" bestFit="1" customWidth="1"/>
    <col min="8" max="8" width="64.09765625" bestFit="1" customWidth="1"/>
  </cols>
  <sheetData>
    <row r="1" spans="1:8" ht="18.600000000000001" thickBot="1" x14ac:dyDescent="0.5">
      <c r="A1" t="str">
        <f>"令和"&amp;TEXT(基礎情報入力シート!B1,"#")&amp;"年度の税額計算基礎情報"</f>
        <v>令和6年度の税額計算基礎情報</v>
      </c>
    </row>
    <row r="2" spans="1:8" x14ac:dyDescent="0.45">
      <c r="A2" s="30" t="s">
        <v>66</v>
      </c>
      <c r="B2" s="16" t="s">
        <v>20</v>
      </c>
      <c r="C2" s="16" t="s">
        <v>8</v>
      </c>
      <c r="D2" s="17" t="s">
        <v>65</v>
      </c>
      <c r="F2" s="27" t="s">
        <v>57</v>
      </c>
      <c r="G2" s="409" t="s">
        <v>67</v>
      </c>
      <c r="H2" s="410"/>
    </row>
    <row r="3" spans="1:8" x14ac:dyDescent="0.45">
      <c r="A3" s="31" t="s">
        <v>9</v>
      </c>
      <c r="B3" s="23">
        <f>HLOOKUP(基礎情報入力シート!B1,作業・変換!C53:G67,5,FALSE)</f>
        <v>29300</v>
      </c>
      <c r="C3" s="28">
        <f>HLOOKUP(基礎情報入力シート!B1,作業・変換!C53:G67,2,FALSE)/100</f>
        <v>5.8099999999999999E-2</v>
      </c>
      <c r="D3" s="24">
        <f>HLOOKUP(基礎情報入力シート!B1,作業・変換!C53:G67,12,FALSE)</f>
        <v>650000</v>
      </c>
      <c r="F3" s="18" t="s">
        <v>10</v>
      </c>
      <c r="G3" s="220">
        <f>HLOOKUP(基礎情報入力シート!B1,作業・変換!C53:G67,8,FALSE)</f>
        <v>430000</v>
      </c>
      <c r="H3" s="29" t="str">
        <f>"円＋"&amp;TEXT(HLOOKUP(基礎情報入力シート!B1,作業・変換!C53:G67,9,FALSE),"#,#;;0")&amp;"円×（給与所得者等の数－１）以下"</f>
        <v>円＋100,000円×（給与所得者等の数－１）以下</v>
      </c>
    </row>
    <row r="4" spans="1:8" x14ac:dyDescent="0.45">
      <c r="A4" s="31" t="s">
        <v>11</v>
      </c>
      <c r="B4" s="23">
        <f>HLOOKUP(基礎情報入力シート!B1,作業・変換!C53:G67,6,FALSE)</f>
        <v>12000</v>
      </c>
      <c r="C4" s="28">
        <f>HLOOKUP(基礎情報入力シート!B1,作業・変換!C53:G67,3,FALSE)/100</f>
        <v>1.89E-2</v>
      </c>
      <c r="D4" s="24">
        <f>HLOOKUP(基礎情報入力シート!B1,作業・変換!C53:G67,13,FALSE)</f>
        <v>240000</v>
      </c>
      <c r="F4" s="18" t="s">
        <v>12</v>
      </c>
      <c r="G4" s="220">
        <f>HLOOKUP(基礎情報入力シート!B1,作業・変換!C53:G67,10,FALSE)</f>
        <v>295000</v>
      </c>
      <c r="H4" s="29" t="str">
        <f>"円×加入者数＋"&amp;TEXT(G3,"#,#;;0")&amp;"円＋"&amp;TEXT(HLOOKUP(基礎情報入力シート!B1,作業・変換!C53:G67,9,FALSE),"#,#;;0")&amp;"円×（給与所得者等の数－１）以下"</f>
        <v>円×加入者数＋430,000円＋100,000円×（給与所得者等の数－１）以下</v>
      </c>
    </row>
    <row r="5" spans="1:8" ht="18.600000000000001" thickBot="1" x14ac:dyDescent="0.5">
      <c r="A5" s="32" t="s">
        <v>13</v>
      </c>
      <c r="B5" s="25">
        <f>HLOOKUP(基礎情報入力シート!B1,作業・変換!C53:G67,7,FALSE)</f>
        <v>12200</v>
      </c>
      <c r="C5" s="33">
        <f>HLOOKUP(基礎情報入力シート!B1,作業・変換!C53:G67,4,FALSE)/100</f>
        <v>1.6799999999999999E-2</v>
      </c>
      <c r="D5" s="26">
        <f>HLOOKUP(基礎情報入力シート!B1,作業・変換!C53:G67,14,FALSE)</f>
        <v>170000</v>
      </c>
      <c r="F5" s="19" t="s">
        <v>14</v>
      </c>
      <c r="G5" s="221">
        <f>HLOOKUP(基礎情報入力シート!B1,作業・変換!C53:G67,11,FALSE)</f>
        <v>545000</v>
      </c>
      <c r="H5" s="219" t="str">
        <f>"円×加入者数＋"&amp;TEXT(G3,"#,#;;0")&amp;"円＋"&amp;TEXT(HLOOKUP(基礎情報入力シート!B1,作業・変換!C53:G67,9,FALSE),"#,#;;0")&amp;"円×（給与所得者等の数－１）以下"</f>
        <v>円×加入者数＋430,000円＋100,000円×（給与所得者等の数－１）以下</v>
      </c>
    </row>
  </sheetData>
  <sheetProtection algorithmName="SHA-512" hashValue="aJ1RysBNdlQvthxIGO02FpHYwk8XiN2RzT1IUdRr0K2kFL2kzEQPpd6i6qpZOjj0lZYGWjtNwvShWOmjNs5vDg==" saltValue="6jbyUbnuncKCa1SuBEsXOg==" spinCount="100000" sheet="1" objects="1" scenarios="1"/>
  <protectedRanges>
    <protectedRange sqref="B3:C5" name="範囲13"/>
    <protectedRange sqref="G4:G5" name="範囲14"/>
    <protectedRange sqref="D3:D5" name="範囲15"/>
  </protectedRanges>
  <mergeCells count="1">
    <mergeCell ref="G2:H2"/>
  </mergeCells>
  <phoneticPr fontId="3"/>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6"/>
  <sheetViews>
    <sheetView workbookViewId="0">
      <selection activeCell="A2" sqref="A2"/>
    </sheetView>
  </sheetViews>
  <sheetFormatPr defaultRowHeight="18" x14ac:dyDescent="0.45"/>
  <cols>
    <col min="1" max="1" width="9" style="1"/>
    <col min="2" max="2" width="15.19921875" style="1" customWidth="1"/>
    <col min="3" max="21" width="10.59765625" style="1" customWidth="1"/>
    <col min="22" max="257" width="9" style="1"/>
    <col min="258" max="258" width="15.19921875" style="1" customWidth="1"/>
    <col min="259" max="259" width="10.5" style="1" customWidth="1"/>
    <col min="260" max="260" width="12.69921875" style="1" customWidth="1"/>
    <col min="261" max="261" width="10.3984375" style="1" customWidth="1"/>
    <col min="262" max="263" width="11" style="1" bestFit="1" customWidth="1"/>
    <col min="264" max="264" width="9.19921875" style="1" bestFit="1" customWidth="1"/>
    <col min="265" max="266" width="11" style="1" bestFit="1" customWidth="1"/>
    <col min="267" max="267" width="9" style="1"/>
    <col min="268" max="269" width="11" style="1" bestFit="1" customWidth="1"/>
    <col min="270" max="270" width="9" style="1"/>
    <col min="271" max="272" width="11" style="1" bestFit="1" customWidth="1"/>
    <col min="273" max="513" width="9" style="1"/>
    <col min="514" max="514" width="15.19921875" style="1" customWidth="1"/>
    <col min="515" max="515" width="10.5" style="1" customWidth="1"/>
    <col min="516" max="516" width="12.69921875" style="1" customWidth="1"/>
    <col min="517" max="517" width="10.3984375" style="1" customWidth="1"/>
    <col min="518" max="519" width="11" style="1" bestFit="1" customWidth="1"/>
    <col min="520" max="520" width="9.19921875" style="1" bestFit="1" customWidth="1"/>
    <col min="521" max="522" width="11" style="1" bestFit="1" customWidth="1"/>
    <col min="523" max="523" width="9" style="1"/>
    <col min="524" max="525" width="11" style="1" bestFit="1" customWidth="1"/>
    <col min="526" max="526" width="9" style="1"/>
    <col min="527" max="528" width="11" style="1" bestFit="1" customWidth="1"/>
    <col min="529" max="769" width="9" style="1"/>
    <col min="770" max="770" width="15.19921875" style="1" customWidth="1"/>
    <col min="771" max="771" width="10.5" style="1" customWidth="1"/>
    <col min="772" max="772" width="12.69921875" style="1" customWidth="1"/>
    <col min="773" max="773" width="10.3984375" style="1" customWidth="1"/>
    <col min="774" max="775" width="11" style="1" bestFit="1" customWidth="1"/>
    <col min="776" max="776" width="9.19921875" style="1" bestFit="1" customWidth="1"/>
    <col min="777" max="778" width="11" style="1" bestFit="1" customWidth="1"/>
    <col min="779" max="779" width="9" style="1"/>
    <col min="780" max="781" width="11" style="1" bestFit="1" customWidth="1"/>
    <col min="782" max="782" width="9" style="1"/>
    <col min="783" max="784" width="11" style="1" bestFit="1" customWidth="1"/>
    <col min="785" max="1025" width="9" style="1"/>
    <col min="1026" max="1026" width="15.19921875" style="1" customWidth="1"/>
    <col min="1027" max="1027" width="10.5" style="1" customWidth="1"/>
    <col min="1028" max="1028" width="12.69921875" style="1" customWidth="1"/>
    <col min="1029" max="1029" width="10.3984375" style="1" customWidth="1"/>
    <col min="1030" max="1031" width="11" style="1" bestFit="1" customWidth="1"/>
    <col min="1032" max="1032" width="9.19921875" style="1" bestFit="1" customWidth="1"/>
    <col min="1033" max="1034" width="11" style="1" bestFit="1" customWidth="1"/>
    <col min="1035" max="1035" width="9" style="1"/>
    <col min="1036" max="1037" width="11" style="1" bestFit="1" customWidth="1"/>
    <col min="1038" max="1038" width="9" style="1"/>
    <col min="1039" max="1040" width="11" style="1" bestFit="1" customWidth="1"/>
    <col min="1041" max="1281" width="9" style="1"/>
    <col min="1282" max="1282" width="15.19921875" style="1" customWidth="1"/>
    <col min="1283" max="1283" width="10.5" style="1" customWidth="1"/>
    <col min="1284" max="1284" width="12.69921875" style="1" customWidth="1"/>
    <col min="1285" max="1285" width="10.3984375" style="1" customWidth="1"/>
    <col min="1286" max="1287" width="11" style="1" bestFit="1" customWidth="1"/>
    <col min="1288" max="1288" width="9.19921875" style="1" bestFit="1" customWidth="1"/>
    <col min="1289" max="1290" width="11" style="1" bestFit="1" customWidth="1"/>
    <col min="1291" max="1291" width="9" style="1"/>
    <col min="1292" max="1293" width="11" style="1" bestFit="1" customWidth="1"/>
    <col min="1294" max="1294" width="9" style="1"/>
    <col min="1295" max="1296" width="11" style="1" bestFit="1" customWidth="1"/>
    <col min="1297" max="1537" width="9" style="1"/>
    <col min="1538" max="1538" width="15.19921875" style="1" customWidth="1"/>
    <col min="1539" max="1539" width="10.5" style="1" customWidth="1"/>
    <col min="1540" max="1540" width="12.69921875" style="1" customWidth="1"/>
    <col min="1541" max="1541" width="10.3984375" style="1" customWidth="1"/>
    <col min="1542" max="1543" width="11" style="1" bestFit="1" customWidth="1"/>
    <col min="1544" max="1544" width="9.19921875" style="1" bestFit="1" customWidth="1"/>
    <col min="1545" max="1546" width="11" style="1" bestFit="1" customWidth="1"/>
    <col min="1547" max="1547" width="9" style="1"/>
    <col min="1548" max="1549" width="11" style="1" bestFit="1" customWidth="1"/>
    <col min="1550" max="1550" width="9" style="1"/>
    <col min="1551" max="1552" width="11" style="1" bestFit="1" customWidth="1"/>
    <col min="1553" max="1793" width="9" style="1"/>
    <col min="1794" max="1794" width="15.19921875" style="1" customWidth="1"/>
    <col min="1795" max="1795" width="10.5" style="1" customWidth="1"/>
    <col min="1796" max="1796" width="12.69921875" style="1" customWidth="1"/>
    <col min="1797" max="1797" width="10.3984375" style="1" customWidth="1"/>
    <col min="1798" max="1799" width="11" style="1" bestFit="1" customWidth="1"/>
    <col min="1800" max="1800" width="9.19921875" style="1" bestFit="1" customWidth="1"/>
    <col min="1801" max="1802" width="11" style="1" bestFit="1" customWidth="1"/>
    <col min="1803" max="1803" width="9" style="1"/>
    <col min="1804" max="1805" width="11" style="1" bestFit="1" customWidth="1"/>
    <col min="1806" max="1806" width="9" style="1"/>
    <col min="1807" max="1808" width="11" style="1" bestFit="1" customWidth="1"/>
    <col min="1809" max="2049" width="9" style="1"/>
    <col min="2050" max="2050" width="15.19921875" style="1" customWidth="1"/>
    <col min="2051" max="2051" width="10.5" style="1" customWidth="1"/>
    <col min="2052" max="2052" width="12.69921875" style="1" customWidth="1"/>
    <col min="2053" max="2053" width="10.3984375" style="1" customWidth="1"/>
    <col min="2054" max="2055" width="11" style="1" bestFit="1" customWidth="1"/>
    <col min="2056" max="2056" width="9.19921875" style="1" bestFit="1" customWidth="1"/>
    <col min="2057" max="2058" width="11" style="1" bestFit="1" customWidth="1"/>
    <col min="2059" max="2059" width="9" style="1"/>
    <col min="2060" max="2061" width="11" style="1" bestFit="1" customWidth="1"/>
    <col min="2062" max="2062" width="9" style="1"/>
    <col min="2063" max="2064" width="11" style="1" bestFit="1" customWidth="1"/>
    <col min="2065" max="2305" width="9" style="1"/>
    <col min="2306" max="2306" width="15.19921875" style="1" customWidth="1"/>
    <col min="2307" max="2307" width="10.5" style="1" customWidth="1"/>
    <col min="2308" max="2308" width="12.69921875" style="1" customWidth="1"/>
    <col min="2309" max="2309" width="10.3984375" style="1" customWidth="1"/>
    <col min="2310" max="2311" width="11" style="1" bestFit="1" customWidth="1"/>
    <col min="2312" max="2312" width="9.19921875" style="1" bestFit="1" customWidth="1"/>
    <col min="2313" max="2314" width="11" style="1" bestFit="1" customWidth="1"/>
    <col min="2315" max="2315" width="9" style="1"/>
    <col min="2316" max="2317" width="11" style="1" bestFit="1" customWidth="1"/>
    <col min="2318" max="2318" width="9" style="1"/>
    <col min="2319" max="2320" width="11" style="1" bestFit="1" customWidth="1"/>
    <col min="2321" max="2561" width="9" style="1"/>
    <col min="2562" max="2562" width="15.19921875" style="1" customWidth="1"/>
    <col min="2563" max="2563" width="10.5" style="1" customWidth="1"/>
    <col min="2564" max="2564" width="12.69921875" style="1" customWidth="1"/>
    <col min="2565" max="2565" width="10.3984375" style="1" customWidth="1"/>
    <col min="2566" max="2567" width="11" style="1" bestFit="1" customWidth="1"/>
    <col min="2568" max="2568" width="9.19921875" style="1" bestFit="1" customWidth="1"/>
    <col min="2569" max="2570" width="11" style="1" bestFit="1" customWidth="1"/>
    <col min="2571" max="2571" width="9" style="1"/>
    <col min="2572" max="2573" width="11" style="1" bestFit="1" customWidth="1"/>
    <col min="2574" max="2574" width="9" style="1"/>
    <col min="2575" max="2576" width="11" style="1" bestFit="1" customWidth="1"/>
    <col min="2577" max="2817" width="9" style="1"/>
    <col min="2818" max="2818" width="15.19921875" style="1" customWidth="1"/>
    <col min="2819" max="2819" width="10.5" style="1" customWidth="1"/>
    <col min="2820" max="2820" width="12.69921875" style="1" customWidth="1"/>
    <col min="2821" max="2821" width="10.3984375" style="1" customWidth="1"/>
    <col min="2822" max="2823" width="11" style="1" bestFit="1" customWidth="1"/>
    <col min="2824" max="2824" width="9.19921875" style="1" bestFit="1" customWidth="1"/>
    <col min="2825" max="2826" width="11" style="1" bestFit="1" customWidth="1"/>
    <col min="2827" max="2827" width="9" style="1"/>
    <col min="2828" max="2829" width="11" style="1" bestFit="1" customWidth="1"/>
    <col min="2830" max="2830" width="9" style="1"/>
    <col min="2831" max="2832" width="11" style="1" bestFit="1" customWidth="1"/>
    <col min="2833" max="3073" width="9" style="1"/>
    <col min="3074" max="3074" width="15.19921875" style="1" customWidth="1"/>
    <col min="3075" max="3075" width="10.5" style="1" customWidth="1"/>
    <col min="3076" max="3076" width="12.69921875" style="1" customWidth="1"/>
    <col min="3077" max="3077" width="10.3984375" style="1" customWidth="1"/>
    <col min="3078" max="3079" width="11" style="1" bestFit="1" customWidth="1"/>
    <col min="3080" max="3080" width="9.19921875" style="1" bestFit="1" customWidth="1"/>
    <col min="3081" max="3082" width="11" style="1" bestFit="1" customWidth="1"/>
    <col min="3083" max="3083" width="9" style="1"/>
    <col min="3084" max="3085" width="11" style="1" bestFit="1" customWidth="1"/>
    <col min="3086" max="3086" width="9" style="1"/>
    <col min="3087" max="3088" width="11" style="1" bestFit="1" customWidth="1"/>
    <col min="3089" max="3329" width="9" style="1"/>
    <col min="3330" max="3330" width="15.19921875" style="1" customWidth="1"/>
    <col min="3331" max="3331" width="10.5" style="1" customWidth="1"/>
    <col min="3332" max="3332" width="12.69921875" style="1" customWidth="1"/>
    <col min="3333" max="3333" width="10.3984375" style="1" customWidth="1"/>
    <col min="3334" max="3335" width="11" style="1" bestFit="1" customWidth="1"/>
    <col min="3336" max="3336" width="9.19921875" style="1" bestFit="1" customWidth="1"/>
    <col min="3337" max="3338" width="11" style="1" bestFit="1" customWidth="1"/>
    <col min="3339" max="3339" width="9" style="1"/>
    <col min="3340" max="3341" width="11" style="1" bestFit="1" customWidth="1"/>
    <col min="3342" max="3342" width="9" style="1"/>
    <col min="3343" max="3344" width="11" style="1" bestFit="1" customWidth="1"/>
    <col min="3345" max="3585" width="9" style="1"/>
    <col min="3586" max="3586" width="15.19921875" style="1" customWidth="1"/>
    <col min="3587" max="3587" width="10.5" style="1" customWidth="1"/>
    <col min="3588" max="3588" width="12.69921875" style="1" customWidth="1"/>
    <col min="3589" max="3589" width="10.3984375" style="1" customWidth="1"/>
    <col min="3590" max="3591" width="11" style="1" bestFit="1" customWidth="1"/>
    <col min="3592" max="3592" width="9.19921875" style="1" bestFit="1" customWidth="1"/>
    <col min="3593" max="3594" width="11" style="1" bestFit="1" customWidth="1"/>
    <col min="3595" max="3595" width="9" style="1"/>
    <col min="3596" max="3597" width="11" style="1" bestFit="1" customWidth="1"/>
    <col min="3598" max="3598" width="9" style="1"/>
    <col min="3599" max="3600" width="11" style="1" bestFit="1" customWidth="1"/>
    <col min="3601" max="3841" width="9" style="1"/>
    <col min="3842" max="3842" width="15.19921875" style="1" customWidth="1"/>
    <col min="3843" max="3843" width="10.5" style="1" customWidth="1"/>
    <col min="3844" max="3844" width="12.69921875" style="1" customWidth="1"/>
    <col min="3845" max="3845" width="10.3984375" style="1" customWidth="1"/>
    <col min="3846" max="3847" width="11" style="1" bestFit="1" customWidth="1"/>
    <col min="3848" max="3848" width="9.19921875" style="1" bestFit="1" customWidth="1"/>
    <col min="3849" max="3850" width="11" style="1" bestFit="1" customWidth="1"/>
    <col min="3851" max="3851" width="9" style="1"/>
    <col min="3852" max="3853" width="11" style="1" bestFit="1" customWidth="1"/>
    <col min="3854" max="3854" width="9" style="1"/>
    <col min="3855" max="3856" width="11" style="1" bestFit="1" customWidth="1"/>
    <col min="3857" max="4097" width="9" style="1"/>
    <col min="4098" max="4098" width="15.19921875" style="1" customWidth="1"/>
    <col min="4099" max="4099" width="10.5" style="1" customWidth="1"/>
    <col min="4100" max="4100" width="12.69921875" style="1" customWidth="1"/>
    <col min="4101" max="4101" width="10.3984375" style="1" customWidth="1"/>
    <col min="4102" max="4103" width="11" style="1" bestFit="1" customWidth="1"/>
    <col min="4104" max="4104" width="9.19921875" style="1" bestFit="1" customWidth="1"/>
    <col min="4105" max="4106" width="11" style="1" bestFit="1" customWidth="1"/>
    <col min="4107" max="4107" width="9" style="1"/>
    <col min="4108" max="4109" width="11" style="1" bestFit="1" customWidth="1"/>
    <col min="4110" max="4110" width="9" style="1"/>
    <col min="4111" max="4112" width="11" style="1" bestFit="1" customWidth="1"/>
    <col min="4113" max="4353" width="9" style="1"/>
    <col min="4354" max="4354" width="15.19921875" style="1" customWidth="1"/>
    <col min="4355" max="4355" width="10.5" style="1" customWidth="1"/>
    <col min="4356" max="4356" width="12.69921875" style="1" customWidth="1"/>
    <col min="4357" max="4357" width="10.3984375" style="1" customWidth="1"/>
    <col min="4358" max="4359" width="11" style="1" bestFit="1" customWidth="1"/>
    <col min="4360" max="4360" width="9.19921875" style="1" bestFit="1" customWidth="1"/>
    <col min="4361" max="4362" width="11" style="1" bestFit="1" customWidth="1"/>
    <col min="4363" max="4363" width="9" style="1"/>
    <col min="4364" max="4365" width="11" style="1" bestFit="1" customWidth="1"/>
    <col min="4366" max="4366" width="9" style="1"/>
    <col min="4367" max="4368" width="11" style="1" bestFit="1" customWidth="1"/>
    <col min="4369" max="4609" width="9" style="1"/>
    <col min="4610" max="4610" width="15.19921875" style="1" customWidth="1"/>
    <col min="4611" max="4611" width="10.5" style="1" customWidth="1"/>
    <col min="4612" max="4612" width="12.69921875" style="1" customWidth="1"/>
    <col min="4613" max="4613" width="10.3984375" style="1" customWidth="1"/>
    <col min="4614" max="4615" width="11" style="1" bestFit="1" customWidth="1"/>
    <col min="4616" max="4616" width="9.19921875" style="1" bestFit="1" customWidth="1"/>
    <col min="4617" max="4618" width="11" style="1" bestFit="1" customWidth="1"/>
    <col min="4619" max="4619" width="9" style="1"/>
    <col min="4620" max="4621" width="11" style="1" bestFit="1" customWidth="1"/>
    <col min="4622" max="4622" width="9" style="1"/>
    <col min="4623" max="4624" width="11" style="1" bestFit="1" customWidth="1"/>
    <col min="4625" max="4865" width="9" style="1"/>
    <col min="4866" max="4866" width="15.19921875" style="1" customWidth="1"/>
    <col min="4867" max="4867" width="10.5" style="1" customWidth="1"/>
    <col min="4868" max="4868" width="12.69921875" style="1" customWidth="1"/>
    <col min="4869" max="4869" width="10.3984375" style="1" customWidth="1"/>
    <col min="4870" max="4871" width="11" style="1" bestFit="1" customWidth="1"/>
    <col min="4872" max="4872" width="9.19921875" style="1" bestFit="1" customWidth="1"/>
    <col min="4873" max="4874" width="11" style="1" bestFit="1" customWidth="1"/>
    <col min="4875" max="4875" width="9" style="1"/>
    <col min="4876" max="4877" width="11" style="1" bestFit="1" customWidth="1"/>
    <col min="4878" max="4878" width="9" style="1"/>
    <col min="4879" max="4880" width="11" style="1" bestFit="1" customWidth="1"/>
    <col min="4881" max="5121" width="9" style="1"/>
    <col min="5122" max="5122" width="15.19921875" style="1" customWidth="1"/>
    <col min="5123" max="5123" width="10.5" style="1" customWidth="1"/>
    <col min="5124" max="5124" width="12.69921875" style="1" customWidth="1"/>
    <col min="5125" max="5125" width="10.3984375" style="1" customWidth="1"/>
    <col min="5126" max="5127" width="11" style="1" bestFit="1" customWidth="1"/>
    <col min="5128" max="5128" width="9.19921875" style="1" bestFit="1" customWidth="1"/>
    <col min="5129" max="5130" width="11" style="1" bestFit="1" customWidth="1"/>
    <col min="5131" max="5131" width="9" style="1"/>
    <col min="5132" max="5133" width="11" style="1" bestFit="1" customWidth="1"/>
    <col min="5134" max="5134" width="9" style="1"/>
    <col min="5135" max="5136" width="11" style="1" bestFit="1" customWidth="1"/>
    <col min="5137" max="5377" width="9" style="1"/>
    <col min="5378" max="5378" width="15.19921875" style="1" customWidth="1"/>
    <col min="5379" max="5379" width="10.5" style="1" customWidth="1"/>
    <col min="5380" max="5380" width="12.69921875" style="1" customWidth="1"/>
    <col min="5381" max="5381" width="10.3984375" style="1" customWidth="1"/>
    <col min="5382" max="5383" width="11" style="1" bestFit="1" customWidth="1"/>
    <col min="5384" max="5384" width="9.19921875" style="1" bestFit="1" customWidth="1"/>
    <col min="5385" max="5386" width="11" style="1" bestFit="1" customWidth="1"/>
    <col min="5387" max="5387" width="9" style="1"/>
    <col min="5388" max="5389" width="11" style="1" bestFit="1" customWidth="1"/>
    <col min="5390" max="5390" width="9" style="1"/>
    <col min="5391" max="5392" width="11" style="1" bestFit="1" customWidth="1"/>
    <col min="5393" max="5633" width="9" style="1"/>
    <col min="5634" max="5634" width="15.19921875" style="1" customWidth="1"/>
    <col min="5635" max="5635" width="10.5" style="1" customWidth="1"/>
    <col min="5636" max="5636" width="12.69921875" style="1" customWidth="1"/>
    <col min="5637" max="5637" width="10.3984375" style="1" customWidth="1"/>
    <col min="5638" max="5639" width="11" style="1" bestFit="1" customWidth="1"/>
    <col min="5640" max="5640" width="9.19921875" style="1" bestFit="1" customWidth="1"/>
    <col min="5641" max="5642" width="11" style="1" bestFit="1" customWidth="1"/>
    <col min="5643" max="5643" width="9" style="1"/>
    <col min="5644" max="5645" width="11" style="1" bestFit="1" customWidth="1"/>
    <col min="5646" max="5646" width="9" style="1"/>
    <col min="5647" max="5648" width="11" style="1" bestFit="1" customWidth="1"/>
    <col min="5649" max="5889" width="9" style="1"/>
    <col min="5890" max="5890" width="15.19921875" style="1" customWidth="1"/>
    <col min="5891" max="5891" width="10.5" style="1" customWidth="1"/>
    <col min="5892" max="5892" width="12.69921875" style="1" customWidth="1"/>
    <col min="5893" max="5893" width="10.3984375" style="1" customWidth="1"/>
    <col min="5894" max="5895" width="11" style="1" bestFit="1" customWidth="1"/>
    <col min="5896" max="5896" width="9.19921875" style="1" bestFit="1" customWidth="1"/>
    <col min="5897" max="5898" width="11" style="1" bestFit="1" customWidth="1"/>
    <col min="5899" max="5899" width="9" style="1"/>
    <col min="5900" max="5901" width="11" style="1" bestFit="1" customWidth="1"/>
    <col min="5902" max="5902" width="9" style="1"/>
    <col min="5903" max="5904" width="11" style="1" bestFit="1" customWidth="1"/>
    <col min="5905" max="6145" width="9" style="1"/>
    <col min="6146" max="6146" width="15.19921875" style="1" customWidth="1"/>
    <col min="6147" max="6147" width="10.5" style="1" customWidth="1"/>
    <col min="6148" max="6148" width="12.69921875" style="1" customWidth="1"/>
    <col min="6149" max="6149" width="10.3984375" style="1" customWidth="1"/>
    <col min="6150" max="6151" width="11" style="1" bestFit="1" customWidth="1"/>
    <col min="6152" max="6152" width="9.19921875" style="1" bestFit="1" customWidth="1"/>
    <col min="6153" max="6154" width="11" style="1" bestFit="1" customWidth="1"/>
    <col min="6155" max="6155" width="9" style="1"/>
    <col min="6156" max="6157" width="11" style="1" bestFit="1" customWidth="1"/>
    <col min="6158" max="6158" width="9" style="1"/>
    <col min="6159" max="6160" width="11" style="1" bestFit="1" customWidth="1"/>
    <col min="6161" max="6401" width="9" style="1"/>
    <col min="6402" max="6402" width="15.19921875" style="1" customWidth="1"/>
    <col min="6403" max="6403" width="10.5" style="1" customWidth="1"/>
    <col min="6404" max="6404" width="12.69921875" style="1" customWidth="1"/>
    <col min="6405" max="6405" width="10.3984375" style="1" customWidth="1"/>
    <col min="6406" max="6407" width="11" style="1" bestFit="1" customWidth="1"/>
    <col min="6408" max="6408" width="9.19921875" style="1" bestFit="1" customWidth="1"/>
    <col min="6409" max="6410" width="11" style="1" bestFit="1" customWidth="1"/>
    <col min="6411" max="6411" width="9" style="1"/>
    <col min="6412" max="6413" width="11" style="1" bestFit="1" customWidth="1"/>
    <col min="6414" max="6414" width="9" style="1"/>
    <col min="6415" max="6416" width="11" style="1" bestFit="1" customWidth="1"/>
    <col min="6417" max="6657" width="9" style="1"/>
    <col min="6658" max="6658" width="15.19921875" style="1" customWidth="1"/>
    <col min="6659" max="6659" width="10.5" style="1" customWidth="1"/>
    <col min="6660" max="6660" width="12.69921875" style="1" customWidth="1"/>
    <col min="6661" max="6661" width="10.3984375" style="1" customWidth="1"/>
    <col min="6662" max="6663" width="11" style="1" bestFit="1" customWidth="1"/>
    <col min="6664" max="6664" width="9.19921875" style="1" bestFit="1" customWidth="1"/>
    <col min="6665" max="6666" width="11" style="1" bestFit="1" customWidth="1"/>
    <col min="6667" max="6667" width="9" style="1"/>
    <col min="6668" max="6669" width="11" style="1" bestFit="1" customWidth="1"/>
    <col min="6670" max="6670" width="9" style="1"/>
    <col min="6671" max="6672" width="11" style="1" bestFit="1" customWidth="1"/>
    <col min="6673" max="6913" width="9" style="1"/>
    <col min="6914" max="6914" width="15.19921875" style="1" customWidth="1"/>
    <col min="6915" max="6915" width="10.5" style="1" customWidth="1"/>
    <col min="6916" max="6916" width="12.69921875" style="1" customWidth="1"/>
    <col min="6917" max="6917" width="10.3984375" style="1" customWidth="1"/>
    <col min="6918" max="6919" width="11" style="1" bestFit="1" customWidth="1"/>
    <col min="6920" max="6920" width="9.19921875" style="1" bestFit="1" customWidth="1"/>
    <col min="6921" max="6922" width="11" style="1" bestFit="1" customWidth="1"/>
    <col min="6923" max="6923" width="9" style="1"/>
    <col min="6924" max="6925" width="11" style="1" bestFit="1" customWidth="1"/>
    <col min="6926" max="6926" width="9" style="1"/>
    <col min="6927" max="6928" width="11" style="1" bestFit="1" customWidth="1"/>
    <col min="6929" max="7169" width="9" style="1"/>
    <col min="7170" max="7170" width="15.19921875" style="1" customWidth="1"/>
    <col min="7171" max="7171" width="10.5" style="1" customWidth="1"/>
    <col min="7172" max="7172" width="12.69921875" style="1" customWidth="1"/>
    <col min="7173" max="7173" width="10.3984375" style="1" customWidth="1"/>
    <col min="7174" max="7175" width="11" style="1" bestFit="1" customWidth="1"/>
    <col min="7176" max="7176" width="9.19921875" style="1" bestFit="1" customWidth="1"/>
    <col min="7177" max="7178" width="11" style="1" bestFit="1" customWidth="1"/>
    <col min="7179" max="7179" width="9" style="1"/>
    <col min="7180" max="7181" width="11" style="1" bestFit="1" customWidth="1"/>
    <col min="7182" max="7182" width="9" style="1"/>
    <col min="7183" max="7184" width="11" style="1" bestFit="1" customWidth="1"/>
    <col min="7185" max="7425" width="9" style="1"/>
    <col min="7426" max="7426" width="15.19921875" style="1" customWidth="1"/>
    <col min="7427" max="7427" width="10.5" style="1" customWidth="1"/>
    <col min="7428" max="7428" width="12.69921875" style="1" customWidth="1"/>
    <col min="7429" max="7429" width="10.3984375" style="1" customWidth="1"/>
    <col min="7430" max="7431" width="11" style="1" bestFit="1" customWidth="1"/>
    <col min="7432" max="7432" width="9.19921875" style="1" bestFit="1" customWidth="1"/>
    <col min="7433" max="7434" width="11" style="1" bestFit="1" customWidth="1"/>
    <col min="7435" max="7435" width="9" style="1"/>
    <col min="7436" max="7437" width="11" style="1" bestFit="1" customWidth="1"/>
    <col min="7438" max="7438" width="9" style="1"/>
    <col min="7439" max="7440" width="11" style="1" bestFit="1" customWidth="1"/>
    <col min="7441" max="7681" width="9" style="1"/>
    <col min="7682" max="7682" width="15.19921875" style="1" customWidth="1"/>
    <col min="7683" max="7683" width="10.5" style="1" customWidth="1"/>
    <col min="7684" max="7684" width="12.69921875" style="1" customWidth="1"/>
    <col min="7685" max="7685" width="10.3984375" style="1" customWidth="1"/>
    <col min="7686" max="7687" width="11" style="1" bestFit="1" customWidth="1"/>
    <col min="7688" max="7688" width="9.19921875" style="1" bestFit="1" customWidth="1"/>
    <col min="7689" max="7690" width="11" style="1" bestFit="1" customWidth="1"/>
    <col min="7691" max="7691" width="9" style="1"/>
    <col min="7692" max="7693" width="11" style="1" bestFit="1" customWidth="1"/>
    <col min="7694" max="7694" width="9" style="1"/>
    <col min="7695" max="7696" width="11" style="1" bestFit="1" customWidth="1"/>
    <col min="7697" max="7937" width="9" style="1"/>
    <col min="7938" max="7938" width="15.19921875" style="1" customWidth="1"/>
    <col min="7939" max="7939" width="10.5" style="1" customWidth="1"/>
    <col min="7940" max="7940" width="12.69921875" style="1" customWidth="1"/>
    <col min="7941" max="7941" width="10.3984375" style="1" customWidth="1"/>
    <col min="7942" max="7943" width="11" style="1" bestFit="1" customWidth="1"/>
    <col min="7944" max="7944" width="9.19921875" style="1" bestFit="1" customWidth="1"/>
    <col min="7945" max="7946" width="11" style="1" bestFit="1" customWidth="1"/>
    <col min="7947" max="7947" width="9" style="1"/>
    <col min="7948" max="7949" width="11" style="1" bestFit="1" customWidth="1"/>
    <col min="7950" max="7950" width="9" style="1"/>
    <col min="7951" max="7952" width="11" style="1" bestFit="1" customWidth="1"/>
    <col min="7953" max="8193" width="9" style="1"/>
    <col min="8194" max="8194" width="15.19921875" style="1" customWidth="1"/>
    <col min="8195" max="8195" width="10.5" style="1" customWidth="1"/>
    <col min="8196" max="8196" width="12.69921875" style="1" customWidth="1"/>
    <col min="8197" max="8197" width="10.3984375" style="1" customWidth="1"/>
    <col min="8198" max="8199" width="11" style="1" bestFit="1" customWidth="1"/>
    <col min="8200" max="8200" width="9.19921875" style="1" bestFit="1" customWidth="1"/>
    <col min="8201" max="8202" width="11" style="1" bestFit="1" customWidth="1"/>
    <col min="8203" max="8203" width="9" style="1"/>
    <col min="8204" max="8205" width="11" style="1" bestFit="1" customWidth="1"/>
    <col min="8206" max="8206" width="9" style="1"/>
    <col min="8207" max="8208" width="11" style="1" bestFit="1" customWidth="1"/>
    <col min="8209" max="8449" width="9" style="1"/>
    <col min="8450" max="8450" width="15.19921875" style="1" customWidth="1"/>
    <col min="8451" max="8451" width="10.5" style="1" customWidth="1"/>
    <col min="8452" max="8452" width="12.69921875" style="1" customWidth="1"/>
    <col min="8453" max="8453" width="10.3984375" style="1" customWidth="1"/>
    <col min="8454" max="8455" width="11" style="1" bestFit="1" customWidth="1"/>
    <col min="8456" max="8456" width="9.19921875" style="1" bestFit="1" customWidth="1"/>
    <col min="8457" max="8458" width="11" style="1" bestFit="1" customWidth="1"/>
    <col min="8459" max="8459" width="9" style="1"/>
    <col min="8460" max="8461" width="11" style="1" bestFit="1" customWidth="1"/>
    <col min="8462" max="8462" width="9" style="1"/>
    <col min="8463" max="8464" width="11" style="1" bestFit="1" customWidth="1"/>
    <col min="8465" max="8705" width="9" style="1"/>
    <col min="8706" max="8706" width="15.19921875" style="1" customWidth="1"/>
    <col min="8707" max="8707" width="10.5" style="1" customWidth="1"/>
    <col min="8708" max="8708" width="12.69921875" style="1" customWidth="1"/>
    <col min="8709" max="8709" width="10.3984375" style="1" customWidth="1"/>
    <col min="8710" max="8711" width="11" style="1" bestFit="1" customWidth="1"/>
    <col min="8712" max="8712" width="9.19921875" style="1" bestFit="1" customWidth="1"/>
    <col min="8713" max="8714" width="11" style="1" bestFit="1" customWidth="1"/>
    <col min="8715" max="8715" width="9" style="1"/>
    <col min="8716" max="8717" width="11" style="1" bestFit="1" customWidth="1"/>
    <col min="8718" max="8718" width="9" style="1"/>
    <col min="8719" max="8720" width="11" style="1" bestFit="1" customWidth="1"/>
    <col min="8721" max="8961" width="9" style="1"/>
    <col min="8962" max="8962" width="15.19921875" style="1" customWidth="1"/>
    <col min="8963" max="8963" width="10.5" style="1" customWidth="1"/>
    <col min="8964" max="8964" width="12.69921875" style="1" customWidth="1"/>
    <col min="8965" max="8965" width="10.3984375" style="1" customWidth="1"/>
    <col min="8966" max="8967" width="11" style="1" bestFit="1" customWidth="1"/>
    <col min="8968" max="8968" width="9.19921875" style="1" bestFit="1" customWidth="1"/>
    <col min="8969" max="8970" width="11" style="1" bestFit="1" customWidth="1"/>
    <col min="8971" max="8971" width="9" style="1"/>
    <col min="8972" max="8973" width="11" style="1" bestFit="1" customWidth="1"/>
    <col min="8974" max="8974" width="9" style="1"/>
    <col min="8975" max="8976" width="11" style="1" bestFit="1" customWidth="1"/>
    <col min="8977" max="9217" width="9" style="1"/>
    <col min="9218" max="9218" width="15.19921875" style="1" customWidth="1"/>
    <col min="9219" max="9219" width="10.5" style="1" customWidth="1"/>
    <col min="9220" max="9220" width="12.69921875" style="1" customWidth="1"/>
    <col min="9221" max="9221" width="10.3984375" style="1" customWidth="1"/>
    <col min="9222" max="9223" width="11" style="1" bestFit="1" customWidth="1"/>
    <col min="9224" max="9224" width="9.19921875" style="1" bestFit="1" customWidth="1"/>
    <col min="9225" max="9226" width="11" style="1" bestFit="1" customWidth="1"/>
    <col min="9227" max="9227" width="9" style="1"/>
    <col min="9228" max="9229" width="11" style="1" bestFit="1" customWidth="1"/>
    <col min="9230" max="9230" width="9" style="1"/>
    <col min="9231" max="9232" width="11" style="1" bestFit="1" customWidth="1"/>
    <col min="9233" max="9473" width="9" style="1"/>
    <col min="9474" max="9474" width="15.19921875" style="1" customWidth="1"/>
    <col min="9475" max="9475" width="10.5" style="1" customWidth="1"/>
    <col min="9476" max="9476" width="12.69921875" style="1" customWidth="1"/>
    <col min="9477" max="9477" width="10.3984375" style="1" customWidth="1"/>
    <col min="9478" max="9479" width="11" style="1" bestFit="1" customWidth="1"/>
    <col min="9480" max="9480" width="9.19921875" style="1" bestFit="1" customWidth="1"/>
    <col min="9481" max="9482" width="11" style="1" bestFit="1" customWidth="1"/>
    <col min="9483" max="9483" width="9" style="1"/>
    <col min="9484" max="9485" width="11" style="1" bestFit="1" customWidth="1"/>
    <col min="9486" max="9486" width="9" style="1"/>
    <col min="9487" max="9488" width="11" style="1" bestFit="1" customWidth="1"/>
    <col min="9489" max="9729" width="9" style="1"/>
    <col min="9730" max="9730" width="15.19921875" style="1" customWidth="1"/>
    <col min="9731" max="9731" width="10.5" style="1" customWidth="1"/>
    <col min="9732" max="9732" width="12.69921875" style="1" customWidth="1"/>
    <col min="9733" max="9733" width="10.3984375" style="1" customWidth="1"/>
    <col min="9734" max="9735" width="11" style="1" bestFit="1" customWidth="1"/>
    <col min="9736" max="9736" width="9.19921875" style="1" bestFit="1" customWidth="1"/>
    <col min="9737" max="9738" width="11" style="1" bestFit="1" customWidth="1"/>
    <col min="9739" max="9739" width="9" style="1"/>
    <col min="9740" max="9741" width="11" style="1" bestFit="1" customWidth="1"/>
    <col min="9742" max="9742" width="9" style="1"/>
    <col min="9743" max="9744" width="11" style="1" bestFit="1" customWidth="1"/>
    <col min="9745" max="9985" width="9" style="1"/>
    <col min="9986" max="9986" width="15.19921875" style="1" customWidth="1"/>
    <col min="9987" max="9987" width="10.5" style="1" customWidth="1"/>
    <col min="9988" max="9988" width="12.69921875" style="1" customWidth="1"/>
    <col min="9989" max="9989" width="10.3984375" style="1" customWidth="1"/>
    <col min="9990" max="9991" width="11" style="1" bestFit="1" customWidth="1"/>
    <col min="9992" max="9992" width="9.19921875" style="1" bestFit="1" customWidth="1"/>
    <col min="9993" max="9994" width="11" style="1" bestFit="1" customWidth="1"/>
    <col min="9995" max="9995" width="9" style="1"/>
    <col min="9996" max="9997" width="11" style="1" bestFit="1" customWidth="1"/>
    <col min="9998" max="9998" width="9" style="1"/>
    <col min="9999" max="10000" width="11" style="1" bestFit="1" customWidth="1"/>
    <col min="10001" max="10241" width="9" style="1"/>
    <col min="10242" max="10242" width="15.19921875" style="1" customWidth="1"/>
    <col min="10243" max="10243" width="10.5" style="1" customWidth="1"/>
    <col min="10244" max="10244" width="12.69921875" style="1" customWidth="1"/>
    <col min="10245" max="10245" width="10.3984375" style="1" customWidth="1"/>
    <col min="10246" max="10247" width="11" style="1" bestFit="1" customWidth="1"/>
    <col min="10248" max="10248" width="9.19921875" style="1" bestFit="1" customWidth="1"/>
    <col min="10249" max="10250" width="11" style="1" bestFit="1" customWidth="1"/>
    <col min="10251" max="10251" width="9" style="1"/>
    <col min="10252" max="10253" width="11" style="1" bestFit="1" customWidth="1"/>
    <col min="10254" max="10254" width="9" style="1"/>
    <col min="10255" max="10256" width="11" style="1" bestFit="1" customWidth="1"/>
    <col min="10257" max="10497" width="9" style="1"/>
    <col min="10498" max="10498" width="15.19921875" style="1" customWidth="1"/>
    <col min="10499" max="10499" width="10.5" style="1" customWidth="1"/>
    <col min="10500" max="10500" width="12.69921875" style="1" customWidth="1"/>
    <col min="10501" max="10501" width="10.3984375" style="1" customWidth="1"/>
    <col min="10502" max="10503" width="11" style="1" bestFit="1" customWidth="1"/>
    <col min="10504" max="10504" width="9.19921875" style="1" bestFit="1" customWidth="1"/>
    <col min="10505" max="10506" width="11" style="1" bestFit="1" customWidth="1"/>
    <col min="10507" max="10507" width="9" style="1"/>
    <col min="10508" max="10509" width="11" style="1" bestFit="1" customWidth="1"/>
    <col min="10510" max="10510" width="9" style="1"/>
    <col min="10511" max="10512" width="11" style="1" bestFit="1" customWidth="1"/>
    <col min="10513" max="10753" width="9" style="1"/>
    <col min="10754" max="10754" width="15.19921875" style="1" customWidth="1"/>
    <col min="10755" max="10755" width="10.5" style="1" customWidth="1"/>
    <col min="10756" max="10756" width="12.69921875" style="1" customWidth="1"/>
    <col min="10757" max="10757" width="10.3984375" style="1" customWidth="1"/>
    <col min="10758" max="10759" width="11" style="1" bestFit="1" customWidth="1"/>
    <col min="10760" max="10760" width="9.19921875" style="1" bestFit="1" customWidth="1"/>
    <col min="10761" max="10762" width="11" style="1" bestFit="1" customWidth="1"/>
    <col min="10763" max="10763" width="9" style="1"/>
    <col min="10764" max="10765" width="11" style="1" bestFit="1" customWidth="1"/>
    <col min="10766" max="10766" width="9" style="1"/>
    <col min="10767" max="10768" width="11" style="1" bestFit="1" customWidth="1"/>
    <col min="10769" max="11009" width="9" style="1"/>
    <col min="11010" max="11010" width="15.19921875" style="1" customWidth="1"/>
    <col min="11011" max="11011" width="10.5" style="1" customWidth="1"/>
    <col min="11012" max="11012" width="12.69921875" style="1" customWidth="1"/>
    <col min="11013" max="11013" width="10.3984375" style="1" customWidth="1"/>
    <col min="11014" max="11015" width="11" style="1" bestFit="1" customWidth="1"/>
    <col min="11016" max="11016" width="9.19921875" style="1" bestFit="1" customWidth="1"/>
    <col min="11017" max="11018" width="11" style="1" bestFit="1" customWidth="1"/>
    <col min="11019" max="11019" width="9" style="1"/>
    <col min="11020" max="11021" width="11" style="1" bestFit="1" customWidth="1"/>
    <col min="11022" max="11022" width="9" style="1"/>
    <col min="11023" max="11024" width="11" style="1" bestFit="1" customWidth="1"/>
    <col min="11025" max="11265" width="9" style="1"/>
    <col min="11266" max="11266" width="15.19921875" style="1" customWidth="1"/>
    <col min="11267" max="11267" width="10.5" style="1" customWidth="1"/>
    <col min="11268" max="11268" width="12.69921875" style="1" customWidth="1"/>
    <col min="11269" max="11269" width="10.3984375" style="1" customWidth="1"/>
    <col min="11270" max="11271" width="11" style="1" bestFit="1" customWidth="1"/>
    <col min="11272" max="11272" width="9.19921875" style="1" bestFit="1" customWidth="1"/>
    <col min="11273" max="11274" width="11" style="1" bestFit="1" customWidth="1"/>
    <col min="11275" max="11275" width="9" style="1"/>
    <col min="11276" max="11277" width="11" style="1" bestFit="1" customWidth="1"/>
    <col min="11278" max="11278" width="9" style="1"/>
    <col min="11279" max="11280" width="11" style="1" bestFit="1" customWidth="1"/>
    <col min="11281" max="11521" width="9" style="1"/>
    <col min="11522" max="11522" width="15.19921875" style="1" customWidth="1"/>
    <col min="11523" max="11523" width="10.5" style="1" customWidth="1"/>
    <col min="11524" max="11524" width="12.69921875" style="1" customWidth="1"/>
    <col min="11525" max="11525" width="10.3984375" style="1" customWidth="1"/>
    <col min="11526" max="11527" width="11" style="1" bestFit="1" customWidth="1"/>
    <col min="11528" max="11528" width="9.19921875" style="1" bestFit="1" customWidth="1"/>
    <col min="11529" max="11530" width="11" style="1" bestFit="1" customWidth="1"/>
    <col min="11531" max="11531" width="9" style="1"/>
    <col min="11532" max="11533" width="11" style="1" bestFit="1" customWidth="1"/>
    <col min="11534" max="11534" width="9" style="1"/>
    <col min="11535" max="11536" width="11" style="1" bestFit="1" customWidth="1"/>
    <col min="11537" max="11777" width="9" style="1"/>
    <col min="11778" max="11778" width="15.19921875" style="1" customWidth="1"/>
    <col min="11779" max="11779" width="10.5" style="1" customWidth="1"/>
    <col min="11780" max="11780" width="12.69921875" style="1" customWidth="1"/>
    <col min="11781" max="11781" width="10.3984375" style="1" customWidth="1"/>
    <col min="11782" max="11783" width="11" style="1" bestFit="1" customWidth="1"/>
    <col min="11784" max="11784" width="9.19921875" style="1" bestFit="1" customWidth="1"/>
    <col min="11785" max="11786" width="11" style="1" bestFit="1" customWidth="1"/>
    <col min="11787" max="11787" width="9" style="1"/>
    <col min="11788" max="11789" width="11" style="1" bestFit="1" customWidth="1"/>
    <col min="11790" max="11790" width="9" style="1"/>
    <col min="11791" max="11792" width="11" style="1" bestFit="1" customWidth="1"/>
    <col min="11793" max="12033" width="9" style="1"/>
    <col min="12034" max="12034" width="15.19921875" style="1" customWidth="1"/>
    <col min="12035" max="12035" width="10.5" style="1" customWidth="1"/>
    <col min="12036" max="12036" width="12.69921875" style="1" customWidth="1"/>
    <col min="12037" max="12037" width="10.3984375" style="1" customWidth="1"/>
    <col min="12038" max="12039" width="11" style="1" bestFit="1" customWidth="1"/>
    <col min="12040" max="12040" width="9.19921875" style="1" bestFit="1" customWidth="1"/>
    <col min="12041" max="12042" width="11" style="1" bestFit="1" customWidth="1"/>
    <col min="12043" max="12043" width="9" style="1"/>
    <col min="12044" max="12045" width="11" style="1" bestFit="1" customWidth="1"/>
    <col min="12046" max="12046" width="9" style="1"/>
    <col min="12047" max="12048" width="11" style="1" bestFit="1" customWidth="1"/>
    <col min="12049" max="12289" width="9" style="1"/>
    <col min="12290" max="12290" width="15.19921875" style="1" customWidth="1"/>
    <col min="12291" max="12291" width="10.5" style="1" customWidth="1"/>
    <col min="12292" max="12292" width="12.69921875" style="1" customWidth="1"/>
    <col min="12293" max="12293" width="10.3984375" style="1" customWidth="1"/>
    <col min="12294" max="12295" width="11" style="1" bestFit="1" customWidth="1"/>
    <col min="12296" max="12296" width="9.19921875" style="1" bestFit="1" customWidth="1"/>
    <col min="12297" max="12298" width="11" style="1" bestFit="1" customWidth="1"/>
    <col min="12299" max="12299" width="9" style="1"/>
    <col min="12300" max="12301" width="11" style="1" bestFit="1" customWidth="1"/>
    <col min="12302" max="12302" width="9" style="1"/>
    <col min="12303" max="12304" width="11" style="1" bestFit="1" customWidth="1"/>
    <col min="12305" max="12545" width="9" style="1"/>
    <col min="12546" max="12546" width="15.19921875" style="1" customWidth="1"/>
    <col min="12547" max="12547" width="10.5" style="1" customWidth="1"/>
    <col min="12548" max="12548" width="12.69921875" style="1" customWidth="1"/>
    <col min="12549" max="12549" width="10.3984375" style="1" customWidth="1"/>
    <col min="12550" max="12551" width="11" style="1" bestFit="1" customWidth="1"/>
    <col min="12552" max="12552" width="9.19921875" style="1" bestFit="1" customWidth="1"/>
    <col min="12553" max="12554" width="11" style="1" bestFit="1" customWidth="1"/>
    <col min="12555" max="12555" width="9" style="1"/>
    <col min="12556" max="12557" width="11" style="1" bestFit="1" customWidth="1"/>
    <col min="12558" max="12558" width="9" style="1"/>
    <col min="12559" max="12560" width="11" style="1" bestFit="1" customWidth="1"/>
    <col min="12561" max="12801" width="9" style="1"/>
    <col min="12802" max="12802" width="15.19921875" style="1" customWidth="1"/>
    <col min="12803" max="12803" width="10.5" style="1" customWidth="1"/>
    <col min="12804" max="12804" width="12.69921875" style="1" customWidth="1"/>
    <col min="12805" max="12805" width="10.3984375" style="1" customWidth="1"/>
    <col min="12806" max="12807" width="11" style="1" bestFit="1" customWidth="1"/>
    <col min="12808" max="12808" width="9.19921875" style="1" bestFit="1" customWidth="1"/>
    <col min="12809" max="12810" width="11" style="1" bestFit="1" customWidth="1"/>
    <col min="12811" max="12811" width="9" style="1"/>
    <col min="12812" max="12813" width="11" style="1" bestFit="1" customWidth="1"/>
    <col min="12814" max="12814" width="9" style="1"/>
    <col min="12815" max="12816" width="11" style="1" bestFit="1" customWidth="1"/>
    <col min="12817" max="13057" width="9" style="1"/>
    <col min="13058" max="13058" width="15.19921875" style="1" customWidth="1"/>
    <col min="13059" max="13059" width="10.5" style="1" customWidth="1"/>
    <col min="13060" max="13060" width="12.69921875" style="1" customWidth="1"/>
    <col min="13061" max="13061" width="10.3984375" style="1" customWidth="1"/>
    <col min="13062" max="13063" width="11" style="1" bestFit="1" customWidth="1"/>
    <col min="13064" max="13064" width="9.19921875" style="1" bestFit="1" customWidth="1"/>
    <col min="13065" max="13066" width="11" style="1" bestFit="1" customWidth="1"/>
    <col min="13067" max="13067" width="9" style="1"/>
    <col min="13068" max="13069" width="11" style="1" bestFit="1" customWidth="1"/>
    <col min="13070" max="13070" width="9" style="1"/>
    <col min="13071" max="13072" width="11" style="1" bestFit="1" customWidth="1"/>
    <col min="13073" max="13313" width="9" style="1"/>
    <col min="13314" max="13314" width="15.19921875" style="1" customWidth="1"/>
    <col min="13315" max="13315" width="10.5" style="1" customWidth="1"/>
    <col min="13316" max="13316" width="12.69921875" style="1" customWidth="1"/>
    <col min="13317" max="13317" width="10.3984375" style="1" customWidth="1"/>
    <col min="13318" max="13319" width="11" style="1" bestFit="1" customWidth="1"/>
    <col min="13320" max="13320" width="9.19921875" style="1" bestFit="1" customWidth="1"/>
    <col min="13321" max="13322" width="11" style="1" bestFit="1" customWidth="1"/>
    <col min="13323" max="13323" width="9" style="1"/>
    <col min="13324" max="13325" width="11" style="1" bestFit="1" customWidth="1"/>
    <col min="13326" max="13326" width="9" style="1"/>
    <col min="13327" max="13328" width="11" style="1" bestFit="1" customWidth="1"/>
    <col min="13329" max="13569" width="9" style="1"/>
    <col min="13570" max="13570" width="15.19921875" style="1" customWidth="1"/>
    <col min="13571" max="13571" width="10.5" style="1" customWidth="1"/>
    <col min="13572" max="13572" width="12.69921875" style="1" customWidth="1"/>
    <col min="13573" max="13573" width="10.3984375" style="1" customWidth="1"/>
    <col min="13574" max="13575" width="11" style="1" bestFit="1" customWidth="1"/>
    <col min="13576" max="13576" width="9.19921875" style="1" bestFit="1" customWidth="1"/>
    <col min="13577" max="13578" width="11" style="1" bestFit="1" customWidth="1"/>
    <col min="13579" max="13579" width="9" style="1"/>
    <col min="13580" max="13581" width="11" style="1" bestFit="1" customWidth="1"/>
    <col min="13582" max="13582" width="9" style="1"/>
    <col min="13583" max="13584" width="11" style="1" bestFit="1" customWidth="1"/>
    <col min="13585" max="13825" width="9" style="1"/>
    <col min="13826" max="13826" width="15.19921875" style="1" customWidth="1"/>
    <col min="13827" max="13827" width="10.5" style="1" customWidth="1"/>
    <col min="13828" max="13828" width="12.69921875" style="1" customWidth="1"/>
    <col min="13829" max="13829" width="10.3984375" style="1" customWidth="1"/>
    <col min="13830" max="13831" width="11" style="1" bestFit="1" customWidth="1"/>
    <col min="13832" max="13832" width="9.19921875" style="1" bestFit="1" customWidth="1"/>
    <col min="13833" max="13834" width="11" style="1" bestFit="1" customWidth="1"/>
    <col min="13835" max="13835" width="9" style="1"/>
    <col min="13836" max="13837" width="11" style="1" bestFit="1" customWidth="1"/>
    <col min="13838" max="13838" width="9" style="1"/>
    <col min="13839" max="13840" width="11" style="1" bestFit="1" customWidth="1"/>
    <col min="13841" max="14081" width="9" style="1"/>
    <col min="14082" max="14082" width="15.19921875" style="1" customWidth="1"/>
    <col min="14083" max="14083" width="10.5" style="1" customWidth="1"/>
    <col min="14084" max="14084" width="12.69921875" style="1" customWidth="1"/>
    <col min="14085" max="14085" width="10.3984375" style="1" customWidth="1"/>
    <col min="14086" max="14087" width="11" style="1" bestFit="1" customWidth="1"/>
    <col min="14088" max="14088" width="9.19921875" style="1" bestFit="1" customWidth="1"/>
    <col min="14089" max="14090" width="11" style="1" bestFit="1" customWidth="1"/>
    <col min="14091" max="14091" width="9" style="1"/>
    <col min="14092" max="14093" width="11" style="1" bestFit="1" customWidth="1"/>
    <col min="14094" max="14094" width="9" style="1"/>
    <col min="14095" max="14096" width="11" style="1" bestFit="1" customWidth="1"/>
    <col min="14097" max="14337" width="9" style="1"/>
    <col min="14338" max="14338" width="15.19921875" style="1" customWidth="1"/>
    <col min="14339" max="14339" width="10.5" style="1" customWidth="1"/>
    <col min="14340" max="14340" width="12.69921875" style="1" customWidth="1"/>
    <col min="14341" max="14341" width="10.3984375" style="1" customWidth="1"/>
    <col min="14342" max="14343" width="11" style="1" bestFit="1" customWidth="1"/>
    <col min="14344" max="14344" width="9.19921875" style="1" bestFit="1" customWidth="1"/>
    <col min="14345" max="14346" width="11" style="1" bestFit="1" customWidth="1"/>
    <col min="14347" max="14347" width="9" style="1"/>
    <col min="14348" max="14349" width="11" style="1" bestFit="1" customWidth="1"/>
    <col min="14350" max="14350" width="9" style="1"/>
    <col min="14351" max="14352" width="11" style="1" bestFit="1" customWidth="1"/>
    <col min="14353" max="14593" width="9" style="1"/>
    <col min="14594" max="14594" width="15.19921875" style="1" customWidth="1"/>
    <col min="14595" max="14595" width="10.5" style="1" customWidth="1"/>
    <col min="14596" max="14596" width="12.69921875" style="1" customWidth="1"/>
    <col min="14597" max="14597" width="10.3984375" style="1" customWidth="1"/>
    <col min="14598" max="14599" width="11" style="1" bestFit="1" customWidth="1"/>
    <col min="14600" max="14600" width="9.19921875" style="1" bestFit="1" customWidth="1"/>
    <col min="14601" max="14602" width="11" style="1" bestFit="1" customWidth="1"/>
    <col min="14603" max="14603" width="9" style="1"/>
    <col min="14604" max="14605" width="11" style="1" bestFit="1" customWidth="1"/>
    <col min="14606" max="14606" width="9" style="1"/>
    <col min="14607" max="14608" width="11" style="1" bestFit="1" customWidth="1"/>
    <col min="14609" max="14849" width="9" style="1"/>
    <col min="14850" max="14850" width="15.19921875" style="1" customWidth="1"/>
    <col min="14851" max="14851" width="10.5" style="1" customWidth="1"/>
    <col min="14852" max="14852" width="12.69921875" style="1" customWidth="1"/>
    <col min="14853" max="14853" width="10.3984375" style="1" customWidth="1"/>
    <col min="14854" max="14855" width="11" style="1" bestFit="1" customWidth="1"/>
    <col min="14856" max="14856" width="9.19921875" style="1" bestFit="1" customWidth="1"/>
    <col min="14857" max="14858" width="11" style="1" bestFit="1" customWidth="1"/>
    <col min="14859" max="14859" width="9" style="1"/>
    <col min="14860" max="14861" width="11" style="1" bestFit="1" customWidth="1"/>
    <col min="14862" max="14862" width="9" style="1"/>
    <col min="14863" max="14864" width="11" style="1" bestFit="1" customWidth="1"/>
    <col min="14865" max="15105" width="9" style="1"/>
    <col min="15106" max="15106" width="15.19921875" style="1" customWidth="1"/>
    <col min="15107" max="15107" width="10.5" style="1" customWidth="1"/>
    <col min="15108" max="15108" width="12.69921875" style="1" customWidth="1"/>
    <col min="15109" max="15109" width="10.3984375" style="1" customWidth="1"/>
    <col min="15110" max="15111" width="11" style="1" bestFit="1" customWidth="1"/>
    <col min="15112" max="15112" width="9.19921875" style="1" bestFit="1" customWidth="1"/>
    <col min="15113" max="15114" width="11" style="1" bestFit="1" customWidth="1"/>
    <col min="15115" max="15115" width="9" style="1"/>
    <col min="15116" max="15117" width="11" style="1" bestFit="1" customWidth="1"/>
    <col min="15118" max="15118" width="9" style="1"/>
    <col min="15119" max="15120" width="11" style="1" bestFit="1" customWidth="1"/>
    <col min="15121" max="15361" width="9" style="1"/>
    <col min="15362" max="15362" width="15.19921875" style="1" customWidth="1"/>
    <col min="15363" max="15363" width="10.5" style="1" customWidth="1"/>
    <col min="15364" max="15364" width="12.69921875" style="1" customWidth="1"/>
    <col min="15365" max="15365" width="10.3984375" style="1" customWidth="1"/>
    <col min="15366" max="15367" width="11" style="1" bestFit="1" customWidth="1"/>
    <col min="15368" max="15368" width="9.19921875" style="1" bestFit="1" customWidth="1"/>
    <col min="15369" max="15370" width="11" style="1" bestFit="1" customWidth="1"/>
    <col min="15371" max="15371" width="9" style="1"/>
    <col min="15372" max="15373" width="11" style="1" bestFit="1" customWidth="1"/>
    <col min="15374" max="15374" width="9" style="1"/>
    <col min="15375" max="15376" width="11" style="1" bestFit="1" customWidth="1"/>
    <col min="15377" max="15617" width="9" style="1"/>
    <col min="15618" max="15618" width="15.19921875" style="1" customWidth="1"/>
    <col min="15619" max="15619" width="10.5" style="1" customWidth="1"/>
    <col min="15620" max="15620" width="12.69921875" style="1" customWidth="1"/>
    <col min="15621" max="15621" width="10.3984375" style="1" customWidth="1"/>
    <col min="15622" max="15623" width="11" style="1" bestFit="1" customWidth="1"/>
    <col min="15624" max="15624" width="9.19921875" style="1" bestFit="1" customWidth="1"/>
    <col min="15625" max="15626" width="11" style="1" bestFit="1" customWidth="1"/>
    <col min="15627" max="15627" width="9" style="1"/>
    <col min="15628" max="15629" width="11" style="1" bestFit="1" customWidth="1"/>
    <col min="15630" max="15630" width="9" style="1"/>
    <col min="15631" max="15632" width="11" style="1" bestFit="1" customWidth="1"/>
    <col min="15633" max="15873" width="9" style="1"/>
    <col min="15874" max="15874" width="15.19921875" style="1" customWidth="1"/>
    <col min="15875" max="15875" width="10.5" style="1" customWidth="1"/>
    <col min="15876" max="15876" width="12.69921875" style="1" customWidth="1"/>
    <col min="15877" max="15877" width="10.3984375" style="1" customWidth="1"/>
    <col min="15878" max="15879" width="11" style="1" bestFit="1" customWidth="1"/>
    <col min="15880" max="15880" width="9.19921875" style="1" bestFit="1" customWidth="1"/>
    <col min="15881" max="15882" width="11" style="1" bestFit="1" customWidth="1"/>
    <col min="15883" max="15883" width="9" style="1"/>
    <col min="15884" max="15885" width="11" style="1" bestFit="1" customWidth="1"/>
    <col min="15886" max="15886" width="9" style="1"/>
    <col min="15887" max="15888" width="11" style="1" bestFit="1" customWidth="1"/>
    <col min="15889" max="16129" width="9" style="1"/>
    <col min="16130" max="16130" width="15.19921875" style="1" customWidth="1"/>
    <col min="16131" max="16131" width="10.5" style="1" customWidth="1"/>
    <col min="16132" max="16132" width="12.69921875" style="1" customWidth="1"/>
    <col min="16133" max="16133" width="10.3984375" style="1" customWidth="1"/>
    <col min="16134" max="16135" width="11" style="1" bestFit="1" customWidth="1"/>
    <col min="16136" max="16136" width="9.19921875" style="1" bestFit="1" customWidth="1"/>
    <col min="16137" max="16138" width="11" style="1" bestFit="1" customWidth="1"/>
    <col min="16139" max="16139" width="9" style="1"/>
    <col min="16140" max="16141" width="11" style="1" bestFit="1" customWidth="1"/>
    <col min="16142" max="16142" width="9" style="1"/>
    <col min="16143" max="16144" width="11" style="1" bestFit="1" customWidth="1"/>
    <col min="16145" max="16384" width="9" style="1"/>
  </cols>
  <sheetData>
    <row r="1" spans="1:21" x14ac:dyDescent="0.45">
      <c r="A1" s="413" t="s">
        <v>126</v>
      </c>
      <c r="B1" s="412"/>
      <c r="C1" s="412"/>
    </row>
    <row r="2" spans="1:21" s="8" customFormat="1" x14ac:dyDescent="0.45">
      <c r="A2" s="6"/>
      <c r="B2" s="7"/>
      <c r="C2" s="1" t="s">
        <v>145</v>
      </c>
      <c r="D2" s="2" t="s">
        <v>150</v>
      </c>
      <c r="E2" s="210" t="s">
        <v>151</v>
      </c>
      <c r="G2" s="8" t="s">
        <v>146</v>
      </c>
      <c r="H2" s="2" t="s">
        <v>150</v>
      </c>
      <c r="I2" s="210" t="s">
        <v>151</v>
      </c>
      <c r="K2" s="8" t="s">
        <v>147</v>
      </c>
      <c r="L2" s="2" t="s">
        <v>150</v>
      </c>
      <c r="M2" s="210" t="s">
        <v>151</v>
      </c>
      <c r="O2" s="8" t="s">
        <v>148</v>
      </c>
      <c r="P2" s="2" t="s">
        <v>150</v>
      </c>
      <c r="Q2" s="210" t="s">
        <v>151</v>
      </c>
      <c r="S2" s="8" t="s">
        <v>149</v>
      </c>
      <c r="T2" s="2" t="s">
        <v>150</v>
      </c>
      <c r="U2" s="210" t="s">
        <v>151</v>
      </c>
    </row>
    <row r="3" spans="1:21" s="8" customFormat="1" x14ac:dyDescent="0.45">
      <c r="A3" s="6"/>
      <c r="B3" s="7"/>
      <c r="C3" s="4">
        <v>0</v>
      </c>
      <c r="D3" s="4">
        <v>0</v>
      </c>
      <c r="E3" s="10">
        <v>0</v>
      </c>
      <c r="F3" s="9"/>
      <c r="G3" s="10">
        <v>0</v>
      </c>
      <c r="H3" s="10">
        <v>0</v>
      </c>
      <c r="I3" s="10">
        <v>0</v>
      </c>
      <c r="J3" s="9"/>
      <c r="K3" s="10">
        <v>0</v>
      </c>
      <c r="L3" s="10">
        <v>0</v>
      </c>
      <c r="M3" s="10">
        <v>0</v>
      </c>
      <c r="N3" s="9"/>
      <c r="O3" s="10">
        <v>0</v>
      </c>
      <c r="P3" s="10">
        <v>0</v>
      </c>
      <c r="Q3" s="10">
        <v>0</v>
      </c>
      <c r="R3" s="9"/>
      <c r="S3" s="10">
        <v>0</v>
      </c>
      <c r="T3" s="10">
        <v>0</v>
      </c>
      <c r="U3" s="10">
        <v>0</v>
      </c>
    </row>
    <row r="4" spans="1:21" s="8" customFormat="1" x14ac:dyDescent="0.45">
      <c r="A4" s="6"/>
      <c r="B4" s="7"/>
      <c r="C4" s="4">
        <v>551000</v>
      </c>
      <c r="D4" s="4">
        <f>基礎情報入力シート!C9-550000</f>
        <v>-550000</v>
      </c>
      <c r="E4" s="10">
        <f>E3</f>
        <v>0</v>
      </c>
      <c r="F4" s="9"/>
      <c r="G4" s="10">
        <v>551000</v>
      </c>
      <c r="H4" s="10">
        <f>基礎情報入力シート!D9-550000</f>
        <v>-550000</v>
      </c>
      <c r="I4" s="10">
        <f>I3</f>
        <v>0</v>
      </c>
      <c r="J4" s="9"/>
      <c r="K4" s="10">
        <v>551000</v>
      </c>
      <c r="L4" s="10">
        <f>基礎情報入力シート!E9-550000</f>
        <v>-550000</v>
      </c>
      <c r="M4" s="10">
        <f>M3</f>
        <v>0</v>
      </c>
      <c r="N4" s="9"/>
      <c r="O4" s="10">
        <v>551000</v>
      </c>
      <c r="P4" s="10">
        <f>基礎情報入力シート!F9-550000</f>
        <v>-550000</v>
      </c>
      <c r="Q4" s="10">
        <f>Q3</f>
        <v>0</v>
      </c>
      <c r="R4" s="9"/>
      <c r="S4" s="10">
        <v>551000</v>
      </c>
      <c r="T4" s="10">
        <f>基礎情報入力シート!G9-550000</f>
        <v>-550000</v>
      </c>
      <c r="U4" s="10">
        <f>U3</f>
        <v>0</v>
      </c>
    </row>
    <row r="5" spans="1:21" s="8" customFormat="1" x14ac:dyDescent="0.45">
      <c r="A5" s="6"/>
      <c r="B5" s="7"/>
      <c r="C5" s="22">
        <v>651000</v>
      </c>
      <c r="D5" s="22">
        <f>D4</f>
        <v>-550000</v>
      </c>
      <c r="E5" s="10">
        <f>基礎情報入力シート!C9-650000</f>
        <v>-650000</v>
      </c>
      <c r="F5" s="9"/>
      <c r="G5" s="10">
        <v>651000</v>
      </c>
      <c r="H5" s="22">
        <f>H4</f>
        <v>-550000</v>
      </c>
      <c r="I5" s="10">
        <f>基礎情報入力シート!D9-650000</f>
        <v>-650000</v>
      </c>
      <c r="J5" s="9"/>
      <c r="K5" s="10">
        <v>651000</v>
      </c>
      <c r="L5" s="22">
        <f>L4</f>
        <v>-550000</v>
      </c>
      <c r="M5" s="10">
        <f>基礎情報入力シート!E9-650000</f>
        <v>-650000</v>
      </c>
      <c r="N5" s="9"/>
      <c r="O5" s="10">
        <v>651000</v>
      </c>
      <c r="P5" s="22">
        <f>P4</f>
        <v>-550000</v>
      </c>
      <c r="Q5" s="10">
        <f>基礎情報入力シート!F9-650000</f>
        <v>-650000</v>
      </c>
      <c r="R5" s="9"/>
      <c r="S5" s="10">
        <v>651000</v>
      </c>
      <c r="T5" s="22">
        <f>T4</f>
        <v>-550000</v>
      </c>
      <c r="U5" s="10">
        <f>基礎情報入力シート!G9-650000</f>
        <v>-650000</v>
      </c>
    </row>
    <row r="6" spans="1:21" s="8" customFormat="1" x14ac:dyDescent="0.45">
      <c r="A6" s="6"/>
      <c r="B6" s="7"/>
      <c r="C6" s="4">
        <v>1619000</v>
      </c>
      <c r="D6" s="4">
        <v>1069000</v>
      </c>
      <c r="E6" s="10">
        <v>969000</v>
      </c>
      <c r="F6" s="9"/>
      <c r="G6" s="10">
        <v>1619000</v>
      </c>
      <c r="H6" s="10">
        <v>1069000</v>
      </c>
      <c r="I6" s="10">
        <v>969000</v>
      </c>
      <c r="J6" s="9"/>
      <c r="K6" s="10">
        <v>1619000</v>
      </c>
      <c r="L6" s="10">
        <v>1069000</v>
      </c>
      <c r="M6" s="10">
        <v>969000</v>
      </c>
      <c r="N6" s="9"/>
      <c r="O6" s="10">
        <v>1619000</v>
      </c>
      <c r="P6" s="10">
        <v>1069000</v>
      </c>
      <c r="Q6" s="10">
        <v>969000</v>
      </c>
      <c r="R6" s="9"/>
      <c r="S6" s="10">
        <v>1619000</v>
      </c>
      <c r="T6" s="10">
        <v>1069000</v>
      </c>
      <c r="U6" s="10">
        <v>969000</v>
      </c>
    </row>
    <row r="7" spans="1:21" s="8" customFormat="1" x14ac:dyDescent="0.45">
      <c r="A7" s="6"/>
      <c r="B7" s="7"/>
      <c r="C7" s="4">
        <v>1620000</v>
      </c>
      <c r="D7" s="4">
        <v>1070000</v>
      </c>
      <c r="E7" s="10">
        <v>970000</v>
      </c>
      <c r="F7" s="9"/>
      <c r="G7" s="10">
        <v>1620000</v>
      </c>
      <c r="H7" s="10">
        <v>1070000</v>
      </c>
      <c r="I7" s="10">
        <v>970000</v>
      </c>
      <c r="J7" s="9"/>
      <c r="K7" s="10">
        <v>1620000</v>
      </c>
      <c r="L7" s="10">
        <v>1070000</v>
      </c>
      <c r="M7" s="10">
        <v>970000</v>
      </c>
      <c r="N7" s="9"/>
      <c r="O7" s="10">
        <v>1620000</v>
      </c>
      <c r="P7" s="10">
        <v>1070000</v>
      </c>
      <c r="Q7" s="10">
        <v>970000</v>
      </c>
      <c r="R7" s="9"/>
      <c r="S7" s="10">
        <v>1620000</v>
      </c>
      <c r="T7" s="10">
        <v>1070000</v>
      </c>
      <c r="U7" s="10">
        <v>970000</v>
      </c>
    </row>
    <row r="8" spans="1:21" s="8" customFormat="1" x14ac:dyDescent="0.45">
      <c r="A8" s="6"/>
      <c r="B8" s="7"/>
      <c r="C8" s="4">
        <v>1622000</v>
      </c>
      <c r="D8" s="4">
        <v>1072000</v>
      </c>
      <c r="E8" s="10">
        <v>972000</v>
      </c>
      <c r="F8" s="9"/>
      <c r="G8" s="10">
        <v>1622000</v>
      </c>
      <c r="H8" s="10">
        <v>1072000</v>
      </c>
      <c r="I8" s="10">
        <v>972000</v>
      </c>
      <c r="J8" s="9"/>
      <c r="K8" s="10">
        <v>1622000</v>
      </c>
      <c r="L8" s="10">
        <v>1072000</v>
      </c>
      <c r="M8" s="10">
        <v>972000</v>
      </c>
      <c r="N8" s="9"/>
      <c r="O8" s="10">
        <v>1622000</v>
      </c>
      <c r="P8" s="10">
        <v>1072000</v>
      </c>
      <c r="Q8" s="10">
        <v>972000</v>
      </c>
      <c r="R8" s="9"/>
      <c r="S8" s="10">
        <v>1622000</v>
      </c>
      <c r="T8" s="10">
        <v>1072000</v>
      </c>
      <c r="U8" s="10">
        <v>972000</v>
      </c>
    </row>
    <row r="9" spans="1:21" s="8" customFormat="1" x14ac:dyDescent="0.45">
      <c r="A9" s="6"/>
      <c r="B9" s="7"/>
      <c r="C9" s="4">
        <v>1624000</v>
      </c>
      <c r="D9" s="4">
        <v>1074000</v>
      </c>
      <c r="E9" s="10">
        <v>974000</v>
      </c>
      <c r="F9" s="9"/>
      <c r="G9" s="10">
        <v>1624000</v>
      </c>
      <c r="H9" s="10">
        <v>1074000</v>
      </c>
      <c r="I9" s="10">
        <v>974000</v>
      </c>
      <c r="J9" s="9"/>
      <c r="K9" s="10">
        <v>1624000</v>
      </c>
      <c r="L9" s="10">
        <v>1074000</v>
      </c>
      <c r="M9" s="10">
        <v>974000</v>
      </c>
      <c r="N9" s="9"/>
      <c r="O9" s="10">
        <v>1624000</v>
      </c>
      <c r="P9" s="10">
        <v>1074000</v>
      </c>
      <c r="Q9" s="10">
        <v>974000</v>
      </c>
      <c r="R9" s="9"/>
      <c r="S9" s="10">
        <v>1624000</v>
      </c>
      <c r="T9" s="10">
        <v>1074000</v>
      </c>
      <c r="U9" s="10">
        <v>974000</v>
      </c>
    </row>
    <row r="10" spans="1:21" s="8" customFormat="1" x14ac:dyDescent="0.45">
      <c r="A10" s="6"/>
      <c r="B10" s="7"/>
      <c r="C10" s="4">
        <v>1628000</v>
      </c>
      <c r="D10" s="4">
        <f>ROUNDDOWN(基礎情報入力シート!C9/4,-3)*2.4+100000</f>
        <v>100000</v>
      </c>
      <c r="E10" s="10">
        <f>ROUNDDOWN(基礎情報入力シート!C9/4,-3)*2.4</f>
        <v>0</v>
      </c>
      <c r="F10" s="9"/>
      <c r="G10" s="10">
        <v>1628000</v>
      </c>
      <c r="H10" s="10">
        <f>ROUNDDOWN(基礎情報入力シート!D9/4,-3)*2.4+100000</f>
        <v>100000</v>
      </c>
      <c r="I10" s="10">
        <f>ROUNDDOWN(基礎情報入力シート!D9/4,-3)*2.4</f>
        <v>0</v>
      </c>
      <c r="J10" s="9"/>
      <c r="K10" s="10">
        <v>1628000</v>
      </c>
      <c r="L10" s="10">
        <f>ROUNDDOWN(基礎情報入力シート!E9/4,-3)*2.4+100000</f>
        <v>100000</v>
      </c>
      <c r="M10" s="10">
        <f>ROUNDDOWN(基礎情報入力シート!E9/4,-3)*2.4+100000</f>
        <v>100000</v>
      </c>
      <c r="N10" s="9"/>
      <c r="O10" s="10">
        <v>1628000</v>
      </c>
      <c r="P10" s="10">
        <f>ROUNDDOWN(基礎情報入力シート!F9/4,-3)*2.4+100000</f>
        <v>100000</v>
      </c>
      <c r="Q10" s="10">
        <f>ROUNDDOWN(基礎情報入力シート!F9/4,-3)*2.4+100000</f>
        <v>100000</v>
      </c>
      <c r="R10" s="9"/>
      <c r="S10" s="10">
        <v>1628000</v>
      </c>
      <c r="T10" s="10">
        <f>ROUNDDOWN(基礎情報入力シート!G9/4,-3)*2.4+100000</f>
        <v>100000</v>
      </c>
      <c r="U10" s="10">
        <f>ROUNDDOWN(基礎情報入力シート!G9/4,-3)*2.4+100000</f>
        <v>100000</v>
      </c>
    </row>
    <row r="11" spans="1:21" s="8" customFormat="1" x14ac:dyDescent="0.45">
      <c r="A11" s="6"/>
      <c r="B11" s="7"/>
      <c r="C11" s="4">
        <v>1800000</v>
      </c>
      <c r="D11" s="4">
        <f>ROUNDDOWN(基礎情報入力シート!C9/4,-3)*2.8-80000</f>
        <v>-80000</v>
      </c>
      <c r="E11" s="10">
        <f>ROUNDDOWN(基礎情報入力シート!C9/4,-3)*2.8-180000</f>
        <v>-180000</v>
      </c>
      <c r="F11" s="9"/>
      <c r="G11" s="10">
        <v>1800000</v>
      </c>
      <c r="H11" s="10">
        <f>ROUNDDOWN(基礎情報入力シート!D9/4,-3)*2.8-80000</f>
        <v>-80000</v>
      </c>
      <c r="I11" s="10">
        <f>ROUNDDOWN(基礎情報入力シート!D9/4,-3)*2.8-180000</f>
        <v>-180000</v>
      </c>
      <c r="J11" s="9"/>
      <c r="K11" s="10">
        <v>1800000</v>
      </c>
      <c r="L11" s="10">
        <f>ROUNDDOWN(基礎情報入力シート!E9/4,-3)*2.8-80000</f>
        <v>-80000</v>
      </c>
      <c r="M11" s="10">
        <f>ROUNDDOWN(基礎情報入力シート!E9/4,-3)*2.8-80000</f>
        <v>-80000</v>
      </c>
      <c r="N11" s="9"/>
      <c r="O11" s="10">
        <v>1800000</v>
      </c>
      <c r="P11" s="10">
        <f>ROUNDDOWN(基礎情報入力シート!F9/4,-3)*2.8-80000</f>
        <v>-80000</v>
      </c>
      <c r="Q11" s="10">
        <f>ROUNDDOWN(基礎情報入力シート!F9/4,-3)*2.8-80000</f>
        <v>-80000</v>
      </c>
      <c r="R11" s="9"/>
      <c r="S11" s="10">
        <v>1800000</v>
      </c>
      <c r="T11" s="10">
        <f>ROUNDDOWN(基礎情報入力シート!G9/4,-3)*2.8-80000</f>
        <v>-80000</v>
      </c>
      <c r="U11" s="10">
        <f>ROUNDDOWN(基礎情報入力シート!G9/4,-3)*2.8-80000</f>
        <v>-80000</v>
      </c>
    </row>
    <row r="12" spans="1:21" s="8" customFormat="1" x14ac:dyDescent="0.45">
      <c r="A12" s="6"/>
      <c r="B12" s="7"/>
      <c r="C12" s="4">
        <v>3600000</v>
      </c>
      <c r="D12" s="4">
        <f>ROUNDDOWN(基礎情報入力シート!C9/4,-3)*3.2-440000</f>
        <v>-440000</v>
      </c>
      <c r="E12" s="10">
        <f>ROUNDDOWN(基礎情報入力シート!C9/4,-3)*3.2-540000</f>
        <v>-540000</v>
      </c>
      <c r="F12" s="9"/>
      <c r="G12" s="10">
        <v>3600000</v>
      </c>
      <c r="H12" s="10">
        <f>ROUNDDOWN(基礎情報入力シート!D9/4,-3)*3.2-440000</f>
        <v>-440000</v>
      </c>
      <c r="I12" s="10">
        <f>ROUNDDOWN(基礎情報入力シート!D9/4,-3)*3.2-540000</f>
        <v>-540000</v>
      </c>
      <c r="J12" s="9"/>
      <c r="K12" s="10">
        <v>3600000</v>
      </c>
      <c r="L12" s="10">
        <f>ROUNDDOWN(基礎情報入力シート!E9/4,-3)*3.2-440000</f>
        <v>-440000</v>
      </c>
      <c r="M12" s="10">
        <f>ROUNDDOWN(基礎情報入力シート!E9/4,-3)*3.2-440000</f>
        <v>-440000</v>
      </c>
      <c r="N12" s="9"/>
      <c r="O12" s="10">
        <v>3600000</v>
      </c>
      <c r="P12" s="10">
        <f>ROUNDDOWN(基礎情報入力シート!F9/4,-3)*3.2-440000</f>
        <v>-440000</v>
      </c>
      <c r="Q12" s="10">
        <f>ROUNDDOWN(基礎情報入力シート!F9/4,-3)*3.2-440000</f>
        <v>-440000</v>
      </c>
      <c r="R12" s="9"/>
      <c r="S12" s="10">
        <v>3600000</v>
      </c>
      <c r="T12" s="10">
        <f>ROUNDDOWN(基礎情報入力シート!G9/4,-3)*3.2-440000</f>
        <v>-440000</v>
      </c>
      <c r="U12" s="10">
        <f>ROUNDDOWN(基礎情報入力シート!G9/4,-3)*3.2-440000</f>
        <v>-440000</v>
      </c>
    </row>
    <row r="13" spans="1:21" s="8" customFormat="1" x14ac:dyDescent="0.45">
      <c r="A13" s="6"/>
      <c r="B13" s="7"/>
      <c r="C13" s="4">
        <v>6600000</v>
      </c>
      <c r="D13" s="4">
        <f>ROUNDDOWN(基礎情報入力シート!C9*0.9,0)-1100000</f>
        <v>-1100000</v>
      </c>
      <c r="E13" s="10">
        <f>ROUNDDOWN(基礎情報入力シート!C9*0.9,0)-1200000</f>
        <v>-1200000</v>
      </c>
      <c r="F13" s="9"/>
      <c r="G13" s="10">
        <v>6600000</v>
      </c>
      <c r="H13" s="10">
        <f>ROUNDDOWN(基礎情報入力シート!D9*0.9,0)-1100000</f>
        <v>-1100000</v>
      </c>
      <c r="I13" s="10">
        <f>ROUNDDOWN(基礎情報入力シート!D9*0.9,0)-1200000</f>
        <v>-1200000</v>
      </c>
      <c r="J13" s="9"/>
      <c r="K13" s="10">
        <v>6600000</v>
      </c>
      <c r="L13" s="10">
        <f>ROUNDDOWN(基礎情報入力シート!E9*0.9,0)-1100000</f>
        <v>-1100000</v>
      </c>
      <c r="M13" s="10">
        <f>ROUNDDOWN(基礎情報入力シート!E9*0.9,0)-1200000</f>
        <v>-1200000</v>
      </c>
      <c r="N13" s="9"/>
      <c r="O13" s="10">
        <v>6600000</v>
      </c>
      <c r="P13" s="10">
        <f>ROUNDDOWN(基礎情報入力シート!F9*0.9,0)-1100000</f>
        <v>-1100000</v>
      </c>
      <c r="Q13" s="10">
        <f>ROUNDDOWN(基礎情報入力シート!F9*0.9,0)-1200000</f>
        <v>-1200000</v>
      </c>
      <c r="R13" s="9"/>
      <c r="S13" s="10">
        <v>6600000</v>
      </c>
      <c r="T13" s="10">
        <f>ROUNDDOWN(基礎情報入力シート!G9*0.9,0)-1100000</f>
        <v>-1100000</v>
      </c>
      <c r="U13" s="10">
        <f>ROUNDDOWN(基礎情報入力シート!G9*0.9,0)-1200000</f>
        <v>-1200000</v>
      </c>
    </row>
    <row r="14" spans="1:21" s="8" customFormat="1" x14ac:dyDescent="0.45">
      <c r="A14" s="6"/>
      <c r="B14" s="7"/>
      <c r="C14" s="22">
        <v>8500000</v>
      </c>
      <c r="D14" s="22">
        <f>基礎情報入力シート!C9-1950000</f>
        <v>-1950000</v>
      </c>
      <c r="E14" s="10">
        <f>E13</f>
        <v>-1200000</v>
      </c>
      <c r="F14" s="9"/>
      <c r="G14" s="10">
        <v>8500000</v>
      </c>
      <c r="H14" s="10">
        <f>基礎情報入力シート!D9-1950000</f>
        <v>-1950000</v>
      </c>
      <c r="I14" s="10">
        <f>I13</f>
        <v>-1200000</v>
      </c>
      <c r="J14" s="9"/>
      <c r="K14" s="10">
        <v>8500000</v>
      </c>
      <c r="L14" s="10">
        <f>基礎情報入力シート!E9-1950000</f>
        <v>-1950000</v>
      </c>
      <c r="M14" s="10">
        <f>M13</f>
        <v>-1200000</v>
      </c>
      <c r="N14" s="9"/>
      <c r="O14" s="10">
        <v>8500000</v>
      </c>
      <c r="P14" s="10">
        <f>基礎情報入力シート!F9-1950000</f>
        <v>-1950000</v>
      </c>
      <c r="Q14" s="10">
        <f>Q13</f>
        <v>-1200000</v>
      </c>
      <c r="R14" s="9"/>
      <c r="S14" s="10">
        <v>8500000</v>
      </c>
      <c r="T14" s="10">
        <f>基礎情報入力シート!G9-1950000</f>
        <v>-1950000</v>
      </c>
      <c r="U14" s="10">
        <f>U13</f>
        <v>-1200000</v>
      </c>
    </row>
    <row r="15" spans="1:21" s="8" customFormat="1" x14ac:dyDescent="0.45">
      <c r="A15" s="6"/>
      <c r="B15" s="7"/>
      <c r="C15" s="4">
        <v>10000000</v>
      </c>
      <c r="D15" s="4">
        <f>D14</f>
        <v>-1950000</v>
      </c>
      <c r="E15" s="10">
        <f>ROUNDDOWN(基礎情報入力シート!C9*0.9,0)-2200000</f>
        <v>-2200000</v>
      </c>
      <c r="F15" s="9"/>
      <c r="G15" s="4">
        <v>10000000</v>
      </c>
      <c r="H15" s="22">
        <f>H14</f>
        <v>-1950000</v>
      </c>
      <c r="I15" s="10">
        <f>ROUNDDOWN(基礎情報入力シート!D9*0.9,0)-2200000</f>
        <v>-2200000</v>
      </c>
      <c r="J15" s="9"/>
      <c r="K15" s="4">
        <v>10000000</v>
      </c>
      <c r="L15" s="22">
        <f>L14</f>
        <v>-1950000</v>
      </c>
      <c r="M15" s="10">
        <f>ROUNDDOWN(基礎情報入力シート!E9*0.9,0)-2200000</f>
        <v>-2200000</v>
      </c>
      <c r="N15" s="9"/>
      <c r="O15" s="22">
        <v>10000000</v>
      </c>
      <c r="P15" s="22">
        <f>P14</f>
        <v>-1950000</v>
      </c>
      <c r="Q15" s="10">
        <f>ROUNDDOWN(基礎情報入力シート!F9*0.9,0)-2200000</f>
        <v>-2200000</v>
      </c>
      <c r="R15" s="9"/>
      <c r="S15" s="22">
        <v>10000000</v>
      </c>
      <c r="T15" s="22">
        <f>T14</f>
        <v>-1950000</v>
      </c>
      <c r="U15" s="10">
        <f>ROUNDDOWN(基礎情報入力シート!G9*0.9,0)-2200000</f>
        <v>-2200000</v>
      </c>
    </row>
    <row r="16" spans="1:21" s="8" customFormat="1" x14ac:dyDescent="0.45">
      <c r="A16" s="6"/>
      <c r="B16" s="7"/>
      <c r="C16" s="4"/>
      <c r="D16" s="4"/>
      <c r="E16" s="10"/>
      <c r="F16" s="9"/>
      <c r="G16" s="4"/>
      <c r="H16" s="10"/>
      <c r="I16" s="10"/>
      <c r="J16" s="9"/>
      <c r="K16" s="4"/>
      <c r="L16" s="10"/>
      <c r="M16" s="10"/>
      <c r="N16" s="9"/>
      <c r="O16" s="4"/>
      <c r="P16" s="10"/>
      <c r="Q16" s="10"/>
      <c r="R16" s="9"/>
      <c r="S16" s="4"/>
      <c r="T16" s="10"/>
      <c r="U16" s="10"/>
    </row>
    <row r="17" spans="1:21" s="8" customFormat="1" x14ac:dyDescent="0.45">
      <c r="A17" s="6"/>
      <c r="B17" s="7"/>
      <c r="C17" s="85"/>
      <c r="D17" s="85"/>
      <c r="E17" s="9"/>
      <c r="F17" s="9"/>
      <c r="G17" s="85"/>
      <c r="H17" s="86"/>
      <c r="I17" s="9"/>
      <c r="J17" s="9"/>
      <c r="K17" s="85"/>
      <c r="L17" s="86"/>
      <c r="M17" s="9"/>
      <c r="N17" s="9"/>
      <c r="O17" s="85"/>
      <c r="P17" s="86"/>
      <c r="Q17" s="9"/>
      <c r="R17" s="9"/>
      <c r="S17" s="85"/>
      <c r="T17" s="86"/>
    </row>
    <row r="18" spans="1:21" x14ac:dyDescent="0.45">
      <c r="A18" s="413" t="s">
        <v>125</v>
      </c>
      <c r="B18" s="412"/>
      <c r="C18" s="412"/>
    </row>
    <row r="19" spans="1:21" x14ac:dyDescent="0.45">
      <c r="B19" s="3">
        <f>EDATE(DATEVALUE(基礎情報入力シート!A1&amp;基礎情報入力シート!B1&amp;"年1月1日"),-780)</f>
        <v>21551</v>
      </c>
      <c r="C19" s="1" t="s">
        <v>16</v>
      </c>
    </row>
    <row r="20" spans="1:21" x14ac:dyDescent="0.45">
      <c r="A20" s="6"/>
      <c r="C20" s="1" t="s">
        <v>117</v>
      </c>
      <c r="D20" s="2" t="s">
        <v>152</v>
      </c>
      <c r="E20" s="2" t="s">
        <v>153</v>
      </c>
      <c r="G20" s="1" t="s">
        <v>118</v>
      </c>
      <c r="H20" s="2" t="s">
        <v>152</v>
      </c>
      <c r="I20" s="2" t="s">
        <v>153</v>
      </c>
      <c r="K20" s="1" t="s">
        <v>119</v>
      </c>
      <c r="L20" s="2" t="s">
        <v>152</v>
      </c>
      <c r="M20" s="2" t="s">
        <v>153</v>
      </c>
      <c r="O20" s="1" t="s">
        <v>120</v>
      </c>
      <c r="P20" s="2" t="s">
        <v>152</v>
      </c>
      <c r="Q20" s="2" t="s">
        <v>153</v>
      </c>
      <c r="S20" s="1" t="s">
        <v>121</v>
      </c>
      <c r="T20" s="2" t="s">
        <v>152</v>
      </c>
      <c r="U20" s="2" t="s">
        <v>153</v>
      </c>
    </row>
    <row r="21" spans="1:21" x14ac:dyDescent="0.45">
      <c r="A21" s="11"/>
      <c r="C21" s="22">
        <v>0</v>
      </c>
      <c r="D21" s="22">
        <f>IF(基礎情報入力シート!C12+基礎情報入力シート!C17&lt;=10000000,MAX(基礎情報入力シート!C13-1100000,0),IF(基礎情報入力シート!C12+基礎情報入力シート!C17&lt;=20000000,MAX(基礎情報入力シート!C13-1000000,0),MAX(基礎情報入力シート!C13-900000,0)))</f>
        <v>0</v>
      </c>
      <c r="E21" s="22">
        <v>0</v>
      </c>
      <c r="F21" s="12"/>
      <c r="G21" s="22">
        <v>0</v>
      </c>
      <c r="H21" s="22">
        <f>IF(基礎情報入力シート!D12+基礎情報入力シート!D17&lt;=10000000,MAX(基礎情報入力シート!D13-1100000,0),IF(基礎情報入力シート!D12+基礎情報入力シート!D17&lt;=20000000,MAX(基礎情報入力シート!D13-1000000,0),MAX(基礎情報入力シート!D13-900000,0)))</f>
        <v>0</v>
      </c>
      <c r="I21" s="22">
        <v>0</v>
      </c>
      <c r="J21" s="12"/>
      <c r="K21" s="22">
        <v>0</v>
      </c>
      <c r="L21" s="22">
        <f>IF(基礎情報入力シート!E12+基礎情報入力シート!E17&lt;=10000000,MAX(基礎情報入力シート!E13-1100000,0),IF(基礎情報入力シート!E12+基礎情報入力シート!E17&lt;=20000000,MAX(基礎情報入力シート!E13-1000000,0),MAX(基礎情報入力シート!E13-900000,0)))</f>
        <v>0</v>
      </c>
      <c r="M21" s="22">
        <v>0</v>
      </c>
      <c r="N21" s="12"/>
      <c r="O21" s="22">
        <v>0</v>
      </c>
      <c r="P21" s="22">
        <f>IF(基礎情報入力シート!F12+基礎情報入力シート!F17&lt;=10000000,MAX(基礎情報入力シート!F13-1100000,0),IF(基礎情報入力シート!F12+基礎情報入力シート!F17&lt;=20000000,MAX(基礎情報入力シート!F13-1000000,0),MAX(基礎情報入力シート!F13-900000,0)))</f>
        <v>0</v>
      </c>
      <c r="Q21" s="22">
        <v>0</v>
      </c>
      <c r="R21" s="12"/>
      <c r="S21" s="22">
        <v>0</v>
      </c>
      <c r="T21" s="22">
        <f>IF(基礎情報入力シート!G12+基礎情報入力シート!G17&lt;=10000000,MAX(基礎情報入力シート!G13-1100000,0),IF(基礎情報入力シート!G12+基礎情報入力シート!G17&lt;=20000000,MAX(基礎情報入力シート!G13-1000000,0),MAX(基礎情報入力シート!G13-900000,0)))</f>
        <v>0</v>
      </c>
      <c r="U21" s="22">
        <v>0</v>
      </c>
    </row>
    <row r="22" spans="1:21" x14ac:dyDescent="0.45">
      <c r="A22" s="11"/>
      <c r="C22" s="22">
        <v>1200001</v>
      </c>
      <c r="D22" s="22">
        <f>D21</f>
        <v>0</v>
      </c>
      <c r="E22" s="22">
        <f>基礎情報入力シート!C13-1200000</f>
        <v>-1200000</v>
      </c>
      <c r="F22" s="12"/>
      <c r="G22" s="22">
        <v>1200001</v>
      </c>
      <c r="H22" s="22">
        <f>H21</f>
        <v>0</v>
      </c>
      <c r="I22" s="22">
        <f>基礎情報入力シート!D13-1200000</f>
        <v>-1200000</v>
      </c>
      <c r="J22" s="12"/>
      <c r="K22" s="22">
        <v>1200001</v>
      </c>
      <c r="L22" s="22">
        <f>L21</f>
        <v>0</v>
      </c>
      <c r="M22" s="22">
        <f>基礎情報入力シート!E13-1200000</f>
        <v>-1200000</v>
      </c>
      <c r="N22" s="12"/>
      <c r="O22" s="22">
        <v>1200001</v>
      </c>
      <c r="P22" s="22">
        <f>P21</f>
        <v>0</v>
      </c>
      <c r="Q22" s="22">
        <f>基礎情報入力シート!F13-1200000</f>
        <v>-1200000</v>
      </c>
      <c r="R22" s="12"/>
      <c r="S22" s="22">
        <v>1200001</v>
      </c>
      <c r="T22" s="22">
        <f>T21</f>
        <v>0</v>
      </c>
      <c r="U22" s="22">
        <f>基礎情報入力シート!G13-1200000</f>
        <v>-1200000</v>
      </c>
    </row>
    <row r="23" spans="1:21" x14ac:dyDescent="0.45">
      <c r="C23" s="22">
        <v>3300000</v>
      </c>
      <c r="D23" s="22">
        <f>IF(基礎情報入力シート!C12+基礎情報入力シート!C17&lt;=10000000,基礎情報入力シート!C13*0.75-275000,IF(AND(基礎情報入力シート!C12+基礎情報入力シート!C17&gt;10000000,基礎情報入力シート!C12+基礎情報入力シート!C17&lt;=20000000),基礎情報入力シート!C13*0.75-175000,基礎情報入力シート!C13*0.75-75000))</f>
        <v>-275000</v>
      </c>
      <c r="E23" s="22">
        <f>基礎情報入力シート!C13*0.75-375000</f>
        <v>-375000</v>
      </c>
      <c r="F23" s="12"/>
      <c r="G23" s="22">
        <v>3300000</v>
      </c>
      <c r="H23" s="22">
        <f>IF(基礎情報入力シート!D12+基礎情報入力シート!D17&lt;=10000000,基礎情報入力シート!D13*0.75-275000,IF(AND(基礎情報入力シート!D12+基礎情報入力シート!D17&gt;10000000,基礎情報入力シート!D12+基礎情報入力シート!D17&lt;=20000000),基礎情報入力シート!D13*0.75-175000,基礎情報入力シート!D13*0.75-75000))</f>
        <v>-275000</v>
      </c>
      <c r="I23" s="22">
        <f>基礎情報入力シート!D13*0.75-375000</f>
        <v>-375000</v>
      </c>
      <c r="J23" s="12"/>
      <c r="K23" s="22">
        <v>3300000</v>
      </c>
      <c r="L23" s="22">
        <f>IF(基礎情報入力シート!E12+基礎情報入力シート!E17&lt;=10000000,基礎情報入力シート!E13*0.75-275000,IF(AND(基礎情報入力シート!E12+基礎情報入力シート!E17&gt;10000000,基礎情報入力シート!E12+基礎情報入力シート!E17&lt;=20000000),基礎情報入力シート!E13*0.75-175000,基礎情報入力シート!E13*0.75-75000))</f>
        <v>-275000</v>
      </c>
      <c r="M23" s="22">
        <f>基礎情報入力シート!E13*0.75-375000</f>
        <v>-375000</v>
      </c>
      <c r="N23" s="12"/>
      <c r="O23" s="22">
        <v>3300000</v>
      </c>
      <c r="P23" s="22">
        <f>IF(基礎情報入力シート!F12+基礎情報入力シート!F17&lt;=10000000,基礎情報入力シート!F13*0.75-275000,IF(AND(基礎情報入力シート!F12+基礎情報入力シート!F17&gt;10000000,基礎情報入力シート!F12+基礎情報入力シート!F17&lt;=20000000),基礎情報入力シート!F13*0.75-175000,基礎情報入力シート!F13*0.75-75000))</f>
        <v>-275000</v>
      </c>
      <c r="Q23" s="22">
        <f>基礎情報入力シート!F13*0.75-375000</f>
        <v>-375000</v>
      </c>
      <c r="R23" s="12"/>
      <c r="S23" s="22">
        <v>3300000</v>
      </c>
      <c r="T23" s="22">
        <f>IF(基礎情報入力シート!G12+基礎情報入力シート!G17&lt;=10000000,基礎情報入力シート!G13*0.75-275000,IF(AND(基礎情報入力シート!G12+基礎情報入力シート!G17&gt;10000000,基礎情報入力シート!G12+基礎情報入力シート!G17&lt;=20000000),基礎情報入力シート!G13*0.75-175000,基礎情報入力シート!G13*0.75-75000))</f>
        <v>-275000</v>
      </c>
      <c r="U23" s="22">
        <f>基礎情報入力シート!G13*0.75-375000</f>
        <v>-375000</v>
      </c>
    </row>
    <row r="24" spans="1:21" x14ac:dyDescent="0.45">
      <c r="C24" s="22">
        <v>4100000</v>
      </c>
      <c r="D24" s="22">
        <f>IF(基礎情報入力シート!C12+基礎情報入力シート!C17&lt;=10000000,基礎情報入力シート!C13*0.85-685000,IF(AND(基礎情報入力シート!C12+基礎情報入力シート!C17&gt;10000000,基礎情報入力シート!C12+基礎情報入力シート!C17&lt;=20000000),基礎情報入力シート!C13*0.85-585000,基礎情報入力シート!C13*0.85-485000))</f>
        <v>-685000</v>
      </c>
      <c r="E24" s="22">
        <f>基礎情報入力シート!C13*0.85-785000</f>
        <v>-785000</v>
      </c>
      <c r="F24" s="12"/>
      <c r="G24" s="22">
        <v>4100000</v>
      </c>
      <c r="H24" s="22">
        <f>IF(基礎情報入力シート!D12+基礎情報入力シート!D17&lt;=10000000,基礎情報入力シート!D13*0.85-685000,IF(AND(基礎情報入力シート!D12+基礎情報入力シート!D17&gt;10000000,基礎情報入力シート!D12+基礎情報入力シート!D17&lt;=20000000),基礎情報入力シート!D13*0.85-585000,基礎情報入力シート!D13*0.85-485000))</f>
        <v>-685000</v>
      </c>
      <c r="I24" s="22">
        <f>基礎情報入力シート!D13*0.85-785000</f>
        <v>-785000</v>
      </c>
      <c r="J24" s="12"/>
      <c r="K24" s="22">
        <v>4100000</v>
      </c>
      <c r="L24" s="22">
        <f>IF(基礎情報入力シート!E12+基礎情報入力シート!E17&lt;=10000000,基礎情報入力シート!E13*0.85-685000,IF(AND(基礎情報入力シート!E12+基礎情報入力シート!E17&gt;10000000,基礎情報入力シート!E12+基礎情報入力シート!E17&lt;=20000000),基礎情報入力シート!E13*0.85-585000,基礎情報入力シート!E13*0.85-485000))</f>
        <v>-685000</v>
      </c>
      <c r="M24" s="22">
        <f>基礎情報入力シート!E13*0.85-785000</f>
        <v>-785000</v>
      </c>
      <c r="N24" s="12"/>
      <c r="O24" s="22">
        <v>4100000</v>
      </c>
      <c r="P24" s="22">
        <f>IF(基礎情報入力シート!F12+基礎情報入力シート!F17&lt;=10000000,基礎情報入力シート!F13*0.85-685000,IF(AND(基礎情報入力シート!F12+基礎情報入力シート!F17&gt;10000000,基礎情報入力シート!F12+基礎情報入力シート!F17&lt;=20000000),基礎情報入力シート!F13*0.85-585000,基礎情報入力シート!F13*0.85-485000))</f>
        <v>-685000</v>
      </c>
      <c r="Q24" s="22">
        <f>基礎情報入力シート!F13*0.85-785000</f>
        <v>-785000</v>
      </c>
      <c r="R24" s="12"/>
      <c r="S24" s="22">
        <v>4100000</v>
      </c>
      <c r="T24" s="22">
        <f>IF(基礎情報入力シート!G12+基礎情報入力シート!G17&lt;=10000000,基礎情報入力シート!G13*0.85-685000,IF(AND(基礎情報入力シート!G12+基礎情報入力シート!G17&gt;10000000,基礎情報入力シート!G12+基礎情報入力シート!G17&lt;=20000000),基礎情報入力シート!G13*0.85-585000,基礎情報入力シート!G13*0.85-485000))</f>
        <v>-685000</v>
      </c>
      <c r="U24" s="22">
        <f>基礎情報入力シート!G13*0.85-785000</f>
        <v>-785000</v>
      </c>
    </row>
    <row r="25" spans="1:21" x14ac:dyDescent="0.45">
      <c r="C25" s="22">
        <v>7700000</v>
      </c>
      <c r="D25" s="22">
        <f>IF(基礎情報入力シート!C12+基礎情報入力シート!C17&lt;=10000000,基礎情報入力シート!C13*0.95-1455000,IF(AND(基礎情報入力シート!C12+基礎情報入力シート!C17&gt;10000000,基礎情報入力シート!C12+基礎情報入力シート!C17&lt;=20000000),基礎情報入力シート!C13*0.95-1355000,基礎情報入力シート!C13*0.95-1255000))</f>
        <v>-1455000</v>
      </c>
      <c r="E25" s="22">
        <f>基礎情報入力シート!C13*0.95-1555000</f>
        <v>-1555000</v>
      </c>
      <c r="F25" s="12"/>
      <c r="G25" s="22">
        <v>7700000</v>
      </c>
      <c r="H25" s="22">
        <f>IF(基礎情報入力シート!D12+基礎情報入力シート!D17&lt;=10000000,基礎情報入力シート!D13*0.95-1455000,IF(AND(基礎情報入力シート!D12+基礎情報入力シート!D17&gt;10000000,基礎情報入力シート!D12+基礎情報入力シート!D17&lt;=20000000),基礎情報入力シート!D13*0.95-1355000,基礎情報入力シート!D13*0.95-1255000))</f>
        <v>-1455000</v>
      </c>
      <c r="I25" s="22">
        <f>基礎情報入力シート!D13*0.95-1555000</f>
        <v>-1555000</v>
      </c>
      <c r="J25" s="12"/>
      <c r="K25" s="22">
        <v>7700000</v>
      </c>
      <c r="L25" s="22">
        <f>IF(基礎情報入力シート!E12+基礎情報入力シート!E17&lt;=10000000,基礎情報入力シート!E13*0.95-1455000,IF(AND(基礎情報入力シート!E12+基礎情報入力シート!E17&gt;10000000,基礎情報入力シート!E12+基礎情報入力シート!E17&lt;=20000000),基礎情報入力シート!E13*0.95-1355000,基礎情報入力シート!E13*0.95-1255000))</f>
        <v>-1455000</v>
      </c>
      <c r="M25" s="22">
        <f>基礎情報入力シート!E13*0.95-1555000</f>
        <v>-1555000</v>
      </c>
      <c r="N25" s="12"/>
      <c r="O25" s="22">
        <v>7700000</v>
      </c>
      <c r="P25" s="22">
        <f>IF(基礎情報入力シート!F12+基礎情報入力シート!F17&lt;=10000000,基礎情報入力シート!F13*0.95-1455000,IF(AND(基礎情報入力シート!F12+基礎情報入力シート!F17&gt;10000000,基礎情報入力シート!F12+基礎情報入力シート!F17&lt;=20000000),基礎情報入力シート!F13*0.95-1355000,基礎情報入力シート!F13*0.95-1255000))</f>
        <v>-1455000</v>
      </c>
      <c r="Q25" s="22">
        <f>基礎情報入力シート!F13*0.95-1555000</f>
        <v>-1555000</v>
      </c>
      <c r="R25" s="12"/>
      <c r="S25" s="22">
        <v>7700000</v>
      </c>
      <c r="T25" s="22">
        <f>IF(基礎情報入力シート!G12+基礎情報入力シート!G17&lt;=10000000,基礎情報入力シート!G13*0.95-1455000,IF(AND(基礎情報入力シート!G12+基礎情報入力シート!G17&gt;10000000,基礎情報入力シート!G12+基礎情報入力シート!G17&lt;=20000000),基礎情報入力シート!G13*0.95-1355000,基礎情報入力シート!G13*0.95-1255000))</f>
        <v>-1455000</v>
      </c>
      <c r="U25" s="22">
        <f>基礎情報入力シート!G13*0.95-1555000</f>
        <v>-1555000</v>
      </c>
    </row>
    <row r="26" spans="1:21" x14ac:dyDescent="0.45">
      <c r="C26" s="22">
        <v>10000000</v>
      </c>
      <c r="D26" s="22">
        <f>IF(基礎情報入力シート!C12+基礎情報入力シート!C17&lt;=10000000,基礎情報入力シート!C13-1955000,IF(AND(基礎情報入力シート!C12+基礎情報入力シート!C17&gt;10000000,基礎情報入力シート!C12+基礎情報入力シート!C17&lt;=20000000),基礎情報入力シート!C13-1855000,基礎情報入力シート!C13-1755000))</f>
        <v>-1955000</v>
      </c>
      <c r="E26" s="22">
        <f>E25</f>
        <v>-1555000</v>
      </c>
      <c r="F26" s="12"/>
      <c r="G26" s="22">
        <v>10000000</v>
      </c>
      <c r="H26" s="22">
        <f>IF(基礎情報入力シート!D12+基礎情報入力シート!D17&lt;=10000000,基礎情報入力シート!D13-1955000,IF(AND(基礎情報入力シート!D12+基礎情報入力シート!D17&gt;10000000,基礎情報入力シート!D12+基礎情報入力シート!D17&lt;=20000000),基礎情報入力シート!D13-1855000,基礎情報入力シート!D13-1755000))</f>
        <v>-1955000</v>
      </c>
      <c r="I26" s="22">
        <f>I25</f>
        <v>-1555000</v>
      </c>
      <c r="J26" s="12"/>
      <c r="K26" s="22">
        <v>10000000</v>
      </c>
      <c r="L26" s="22">
        <f>IF(基礎情報入力シート!E12+基礎情報入力シート!E17&lt;=10000000,基礎情報入力シート!E13-1955000,IF(AND(基礎情報入力シート!E12+基礎情報入力シート!E17&gt;10000000,基礎情報入力シート!E12+基礎情報入力シート!E17&lt;=20000000),基礎情報入力シート!E13-1855000,基礎情報入力シート!E13-1755000))</f>
        <v>-1955000</v>
      </c>
      <c r="M26" s="22">
        <f>M25</f>
        <v>-1555000</v>
      </c>
      <c r="N26" s="12"/>
      <c r="O26" s="22">
        <v>10000000</v>
      </c>
      <c r="P26" s="22">
        <f>IF(基礎情報入力シート!F12+基礎情報入力シート!F17&lt;=10000000,基礎情報入力シート!F13-1955000,IF(AND(基礎情報入力シート!F12+基礎情報入力シート!F17&gt;10000000,基礎情報入力シート!F12+基礎情報入力シート!F17&lt;=20000000),基礎情報入力シート!F13-1855000,基礎情報入力シート!F13-1755000))</f>
        <v>-1955000</v>
      </c>
      <c r="Q26" s="22">
        <f>Q25</f>
        <v>-1555000</v>
      </c>
      <c r="R26" s="12"/>
      <c r="S26" s="22">
        <v>10000000</v>
      </c>
      <c r="T26" s="22">
        <f>IF(基礎情報入力シート!G12+基礎情報入力シート!G17&lt;=10000000,基礎情報入力シート!G13-1955000,IF(AND(基礎情報入力シート!G12+基礎情報入力シート!G17&gt;10000000,基礎情報入力シート!G12+基礎情報入力シート!G17&lt;=20000000),基礎情報入力シート!G13-1855000,基礎情報入力シート!G13-1755000))</f>
        <v>-1955000</v>
      </c>
      <c r="U26" s="22">
        <f>U25</f>
        <v>-1555000</v>
      </c>
    </row>
    <row r="28" spans="1:21" s="8" customFormat="1" x14ac:dyDescent="0.45">
      <c r="B28" s="13">
        <f>B19+1</f>
        <v>21552</v>
      </c>
      <c r="C28" s="1" t="s">
        <v>17</v>
      </c>
      <c r="D28" s="1"/>
      <c r="E28" s="1"/>
      <c r="F28" s="1"/>
      <c r="G28" s="1"/>
      <c r="H28" s="1"/>
      <c r="I28" s="1"/>
      <c r="J28" s="1"/>
      <c r="K28" s="1"/>
      <c r="L28" s="1"/>
      <c r="M28" s="1"/>
      <c r="N28" s="1"/>
      <c r="O28" s="1"/>
      <c r="P28" s="1"/>
      <c r="Q28" s="1"/>
      <c r="R28" s="1"/>
      <c r="S28" s="1"/>
      <c r="T28" s="1"/>
    </row>
    <row r="29" spans="1:21" s="8" customFormat="1" x14ac:dyDescent="0.45">
      <c r="B29" s="1"/>
      <c r="C29" s="1" t="s">
        <v>122</v>
      </c>
      <c r="D29" s="2" t="s">
        <v>152</v>
      </c>
      <c r="E29" s="2" t="s">
        <v>153</v>
      </c>
      <c r="F29" s="1"/>
      <c r="G29" s="1" t="s">
        <v>118</v>
      </c>
      <c r="H29" s="2" t="s">
        <v>152</v>
      </c>
      <c r="I29" s="2" t="s">
        <v>153</v>
      </c>
      <c r="J29" s="1"/>
      <c r="K29" s="1" t="s">
        <v>119</v>
      </c>
      <c r="L29" s="2" t="s">
        <v>152</v>
      </c>
      <c r="M29" s="2" t="s">
        <v>153</v>
      </c>
      <c r="N29" s="1"/>
      <c r="O29" s="1" t="s">
        <v>120</v>
      </c>
      <c r="P29" s="2" t="s">
        <v>152</v>
      </c>
      <c r="Q29" s="2" t="s">
        <v>153</v>
      </c>
      <c r="R29" s="1"/>
      <c r="S29" s="1" t="s">
        <v>123</v>
      </c>
      <c r="T29" s="2" t="s">
        <v>152</v>
      </c>
      <c r="U29" s="2" t="s">
        <v>153</v>
      </c>
    </row>
    <row r="30" spans="1:21" s="8" customFormat="1" x14ac:dyDescent="0.45">
      <c r="B30" s="1"/>
      <c r="C30" s="22">
        <v>0</v>
      </c>
      <c r="D30" s="22">
        <f>IF(基礎情報入力シート!C12+基礎情報入力シート!C17&lt;=10000000,MAX(基礎情報入力シート!C13-600000,0),IF(基礎情報入力シート!C12+基礎情報入力シート!C17&lt;=20000000,MAX(基礎情報入力シート!C13-500000,0),MAX(基礎情報入力シート!C13-400000,0)))</f>
        <v>0</v>
      </c>
      <c r="E30" s="22">
        <v>0</v>
      </c>
      <c r="F30" s="12"/>
      <c r="G30" s="22">
        <v>0</v>
      </c>
      <c r="H30" s="22">
        <f>IF(基礎情報入力シート!D12+基礎情報入力シート!D17&lt;=10000000,MAX(基礎情報入力シート!D13-600000,0),IF(基礎情報入力シート!D12+基礎情報入力シート!D17&lt;=20000000,MAX(基礎情報入力シート!D13-500000,0),MAX(基礎情報入力シート!D13-400000,0)))</f>
        <v>0</v>
      </c>
      <c r="I30" s="22">
        <v>0</v>
      </c>
      <c r="J30" s="12"/>
      <c r="K30" s="22">
        <v>0</v>
      </c>
      <c r="L30" s="22">
        <f>IF(基礎情報入力シート!E12+基礎情報入力シート!E17&lt;=10000000,MAX(基礎情報入力シート!E13-600000,0),IF(基礎情報入力シート!E12+基礎情報入力シート!E17&lt;=20000000,MAX(基礎情報入力シート!E13-500000,0),MAX(基礎情報入力シート!E13-400000,0)))</f>
        <v>0</v>
      </c>
      <c r="M30" s="22">
        <v>0</v>
      </c>
      <c r="N30" s="12"/>
      <c r="O30" s="22">
        <v>0</v>
      </c>
      <c r="P30" s="22">
        <f>IF(基礎情報入力シート!F12+基礎情報入力シート!F17&lt;=10000000,MAX(基礎情報入力シート!F13-600000,0),IF(基礎情報入力シート!F12+基礎情報入力シート!F17&lt;=20000000,MAX(基礎情報入力シート!F13-500000,0),MAX(基礎情報入力シート!F13-400000,0)))</f>
        <v>0</v>
      </c>
      <c r="Q30" s="22">
        <v>0</v>
      </c>
      <c r="R30" s="12"/>
      <c r="S30" s="22">
        <v>0</v>
      </c>
      <c r="T30" s="22">
        <f>IF(基礎情報入力シート!G12+基礎情報入力シート!G17&lt;=10000000,MAX(基礎情報入力シート!G13-600000,0),IF(基礎情報入力シート!G12+基礎情報入力シート!G17&lt;=20000000,MAX(基礎情報入力シート!G13-500000,0),MAX(基礎情報入力シート!G13-400000,0)))</f>
        <v>0</v>
      </c>
      <c r="U30" s="10">
        <v>0</v>
      </c>
    </row>
    <row r="31" spans="1:21" s="8" customFormat="1" x14ac:dyDescent="0.45">
      <c r="B31" s="1"/>
      <c r="C31" s="22">
        <v>700001</v>
      </c>
      <c r="D31" s="22">
        <f>D30</f>
        <v>0</v>
      </c>
      <c r="E31" s="22">
        <f>基礎情報入力シート!C13</f>
        <v>0</v>
      </c>
      <c r="F31" s="12"/>
      <c r="G31" s="22">
        <v>700001</v>
      </c>
      <c r="H31" s="22">
        <f>H30</f>
        <v>0</v>
      </c>
      <c r="I31" s="22">
        <f>基礎情報入力シート!D13</f>
        <v>0</v>
      </c>
      <c r="J31" s="12"/>
      <c r="K31" s="22">
        <v>700001</v>
      </c>
      <c r="L31" s="22">
        <f>L30</f>
        <v>0</v>
      </c>
      <c r="M31" s="22">
        <f>基礎情報入力シート!E13</f>
        <v>0</v>
      </c>
      <c r="N31" s="12"/>
      <c r="O31" s="22">
        <v>700001</v>
      </c>
      <c r="P31" s="22">
        <f>P30</f>
        <v>0</v>
      </c>
      <c r="Q31" s="22">
        <f>基礎情報入力シート!F13</f>
        <v>0</v>
      </c>
      <c r="R31" s="12"/>
      <c r="S31" s="22">
        <v>700001</v>
      </c>
      <c r="T31" s="22">
        <f>T30</f>
        <v>0</v>
      </c>
      <c r="U31" s="10">
        <f>基礎情報入力シート!G13</f>
        <v>0</v>
      </c>
    </row>
    <row r="32" spans="1:21" s="8" customFormat="1" x14ac:dyDescent="0.45">
      <c r="B32" s="1"/>
      <c r="C32" s="22">
        <v>1300000</v>
      </c>
      <c r="D32" s="22">
        <f>IF(基礎情報入力シート!C12+基礎情報入力シート!C17&lt;=10000000,基礎情報入力シート!C13*0.75-275000,IF(AND(基礎情報入力シート!C12+基礎情報入力シート!C17&gt;10000000,基礎情報入力シート!C12+基礎情報入力シート!C17&lt;=20000000),基礎情報入力シート!C13*0.75-175000,基礎情報入力シート!C13*0.75-75000))</f>
        <v>-275000</v>
      </c>
      <c r="E32" s="22">
        <f>基礎情報入力シート!C13*0.75-375000</f>
        <v>-375000</v>
      </c>
      <c r="F32" s="12"/>
      <c r="G32" s="22">
        <v>1300000</v>
      </c>
      <c r="H32" s="22">
        <f>IF(基礎情報入力シート!D12+基礎情報入力シート!D17&lt;=10000000,基礎情報入力シート!D13*0.75-275000,IF(AND(基礎情報入力シート!D12+基礎情報入力シート!D17&gt;10000000,基礎情報入力シート!D12+基礎情報入力シート!D17&lt;=20000000),基礎情報入力シート!D13*0.75-175000,基礎情報入力シート!D13*0.75-75000))</f>
        <v>-275000</v>
      </c>
      <c r="I32" s="22">
        <f>基礎情報入力シート!D13*0.75-375000</f>
        <v>-375000</v>
      </c>
      <c r="J32" s="12"/>
      <c r="K32" s="22">
        <v>1300000</v>
      </c>
      <c r="L32" s="22">
        <f>IF(基礎情報入力シート!E12+基礎情報入力シート!E17&lt;=10000000,基礎情報入力シート!E13*0.75-275000,IF(AND(基礎情報入力シート!E12+基礎情報入力シート!E17&gt;10000000,基礎情報入力シート!E12+基礎情報入力シート!E17&lt;=20000000),基礎情報入力シート!E13*0.75-175000,基礎情報入力シート!E13*0.75-75000))</f>
        <v>-275000</v>
      </c>
      <c r="M32" s="22">
        <f>基礎情報入力シート!E13*0.75-375000</f>
        <v>-375000</v>
      </c>
      <c r="N32" s="12"/>
      <c r="O32" s="22">
        <v>1300000</v>
      </c>
      <c r="P32" s="22">
        <f>IF(基礎情報入力シート!F12+基礎情報入力シート!F17&lt;=10000000,基礎情報入力シート!F13*0.75-275000,IF(AND(基礎情報入力シート!F12+基礎情報入力シート!F17&gt;10000000,基礎情報入力シート!F12+基礎情報入力シート!F17&lt;=20000000),基礎情報入力シート!F13*0.75-175000,基礎情報入力シート!F13*0.75-75000))</f>
        <v>-275000</v>
      </c>
      <c r="Q32" s="22">
        <f>基礎情報入力シート!F13*0.75-375000</f>
        <v>-375000</v>
      </c>
      <c r="R32" s="12"/>
      <c r="S32" s="22">
        <v>1300000</v>
      </c>
      <c r="T32" s="22">
        <f>IF(基礎情報入力シート!G12+基礎情報入力シート!G17&lt;=10000000,基礎情報入力シート!G13*0.75-275000,IF(AND(基礎情報入力シート!G12+基礎情報入力シート!G17&gt;10000000,基礎情報入力シート!G12+基礎情報入力シート!G17&lt;=20000000),基礎情報入力シート!G13*0.75-175000,基礎情報入力シート!G13*0.75-75000))</f>
        <v>-275000</v>
      </c>
      <c r="U32" s="10">
        <f>基礎情報入力シート!G13*0.75-375000</f>
        <v>-375000</v>
      </c>
    </row>
    <row r="33" spans="1:21" s="8" customFormat="1" x14ac:dyDescent="0.45">
      <c r="B33" s="1"/>
      <c r="C33" s="22">
        <v>4100000</v>
      </c>
      <c r="D33" s="22">
        <f>IF(基礎情報入力シート!C12+基礎情報入力シート!C17&lt;=10000000,基礎情報入力シート!C13*0.85-685000,IF(AND(基礎情報入力シート!C12+基礎情報入力シート!C17&gt;10000000,基礎情報入力シート!C12+基礎情報入力シート!C17&lt;=20000000),基礎情報入力シート!C13*0.85-585000,基礎情報入力シート!C13*0.85-485000))</f>
        <v>-685000</v>
      </c>
      <c r="E33" s="22">
        <f>基礎情報入力シート!C13*0.85-785000</f>
        <v>-785000</v>
      </c>
      <c r="F33" s="12"/>
      <c r="G33" s="22">
        <v>4100000</v>
      </c>
      <c r="H33" s="22">
        <f>IF(基礎情報入力シート!D12+基礎情報入力シート!D17&lt;=10000000,基礎情報入力シート!D13*0.85-685000,IF(AND(基礎情報入力シート!D12+基礎情報入力シート!D17&gt;10000000,基礎情報入力シート!D12+基礎情報入力シート!D17&lt;=20000000),基礎情報入力シート!D13*0.85-585000,基礎情報入力シート!D13*0.85-485000))</f>
        <v>-685000</v>
      </c>
      <c r="I33" s="22">
        <f>基礎情報入力シート!D13*0.85-785000</f>
        <v>-785000</v>
      </c>
      <c r="J33" s="12"/>
      <c r="K33" s="22">
        <v>4100000</v>
      </c>
      <c r="L33" s="22">
        <f>IF(基礎情報入力シート!E12+基礎情報入力シート!E17&lt;=10000000,基礎情報入力シート!E13*0.85-685000,IF(AND(基礎情報入力シート!E12+基礎情報入力シート!E17&gt;10000000,基礎情報入力シート!E12+基礎情報入力シート!E17&lt;=20000000),基礎情報入力シート!E13*0.85-585000,基礎情報入力シート!E13*0.85-485000))</f>
        <v>-685000</v>
      </c>
      <c r="M33" s="22">
        <f>基礎情報入力シート!E13*0.85-785000</f>
        <v>-785000</v>
      </c>
      <c r="N33" s="12"/>
      <c r="O33" s="22">
        <v>4100000</v>
      </c>
      <c r="P33" s="22">
        <f>IF(基礎情報入力シート!F12+基礎情報入力シート!F17&lt;=10000000,基礎情報入力シート!F13*0.85-685000,IF(AND(基礎情報入力シート!F12+基礎情報入力シート!F17&gt;10000000,基礎情報入力シート!F12+基礎情報入力シート!F17&lt;=20000000),基礎情報入力シート!F13*0.85-585000,基礎情報入力シート!F13*0.85-485000))</f>
        <v>-685000</v>
      </c>
      <c r="Q33" s="22">
        <f>基礎情報入力シート!F13*0.85-785000</f>
        <v>-785000</v>
      </c>
      <c r="R33" s="12"/>
      <c r="S33" s="22">
        <v>4100000</v>
      </c>
      <c r="T33" s="22">
        <f>IF(基礎情報入力シート!G12+基礎情報入力シート!G17&lt;=10000000,基礎情報入力シート!G13*0.85-685000,IF(AND(基礎情報入力シート!G12+基礎情報入力シート!G17&gt;10000000,基礎情報入力シート!G12+基礎情報入力シート!G17&lt;=20000000),基礎情報入力シート!G13*0.85-585000,基礎情報入力シート!G13*0.85-485000))</f>
        <v>-685000</v>
      </c>
      <c r="U33" s="10">
        <f>基礎情報入力シート!G13*0.85-785000</f>
        <v>-785000</v>
      </c>
    </row>
    <row r="34" spans="1:21" x14ac:dyDescent="0.45">
      <c r="C34" s="22">
        <v>7700000</v>
      </c>
      <c r="D34" s="22">
        <f>IF(基礎情報入力シート!C12+基礎情報入力シート!C17&lt;=10000000,基礎情報入力シート!C13*0.95-1455000,IF(AND(基礎情報入力シート!C12+基礎情報入力シート!C17&gt;10000000,基礎情報入力シート!C12+基礎情報入力シート!C17&lt;=20000000),基礎情報入力シート!C13*0.95-1355000,基礎情報入力シート!C13*0.95-1255000))</f>
        <v>-1455000</v>
      </c>
      <c r="E34" s="22">
        <f>基礎情報入力シート!C13*0.95-1555000</f>
        <v>-1555000</v>
      </c>
      <c r="F34" s="12"/>
      <c r="G34" s="22">
        <v>7700000</v>
      </c>
      <c r="H34" s="22">
        <f>IF(基礎情報入力シート!D12+基礎情報入力シート!D17&lt;=10000000,基礎情報入力シート!D13*0.95-1455000,IF(AND(基礎情報入力シート!D12+基礎情報入力シート!D17&gt;10000000,基礎情報入力シート!D12+基礎情報入力シート!D17&lt;=20000000),基礎情報入力シート!D13*0.95-1355000,基礎情報入力シート!D13*0.95-1255000))</f>
        <v>-1455000</v>
      </c>
      <c r="I34" s="22">
        <f>基礎情報入力シート!D13*0.95-1555000</f>
        <v>-1555000</v>
      </c>
      <c r="J34" s="12"/>
      <c r="K34" s="22">
        <v>7700000</v>
      </c>
      <c r="L34" s="22">
        <f>IF(基礎情報入力シート!E12+基礎情報入力シート!E17&lt;=10000000,基礎情報入力シート!E13*0.95-1455000,IF(AND(基礎情報入力シート!E12+基礎情報入力シート!E17&gt;10000000,基礎情報入力シート!E12+基礎情報入力シート!E17&lt;=20000000),基礎情報入力シート!E13*0.95-1355000,基礎情報入力シート!E13*0.95-1255000))</f>
        <v>-1455000</v>
      </c>
      <c r="M34" s="22">
        <f>基礎情報入力シート!E13*0.95-1555000</f>
        <v>-1555000</v>
      </c>
      <c r="N34" s="12"/>
      <c r="O34" s="22">
        <v>7700000</v>
      </c>
      <c r="P34" s="22">
        <f>IF(基礎情報入力シート!F12+基礎情報入力シート!F17&lt;=10000000,基礎情報入力シート!F13*0.95-1455000,IF(AND(基礎情報入力シート!F12+基礎情報入力シート!F17&gt;10000000,基礎情報入力シート!F12+基礎情報入力シート!F17&lt;=20000000),基礎情報入力シート!F13*0.95-1355000,基礎情報入力シート!F13*0.95-1255000))</f>
        <v>-1455000</v>
      </c>
      <c r="Q34" s="22">
        <f>基礎情報入力シート!F13*0.95-1555000</f>
        <v>-1555000</v>
      </c>
      <c r="R34" s="12"/>
      <c r="S34" s="22">
        <v>7700000</v>
      </c>
      <c r="T34" s="22">
        <f>IF(基礎情報入力シート!G12+基礎情報入力シート!G17&lt;=10000000,基礎情報入力シート!G13*0.95-1455000,IF(AND(基礎情報入力シート!G12+基礎情報入力シート!G17&gt;10000000,基礎情報入力シート!G12+基礎情報入力シート!G17&lt;=20000000),基礎情報入力シート!G13*0.95-1355000,基礎情報入力シート!G13*0.95-1255000))</f>
        <v>-1455000</v>
      </c>
      <c r="U34" s="22">
        <f>基礎情報入力シート!G13*0.95-1555000</f>
        <v>-1555000</v>
      </c>
    </row>
    <row r="35" spans="1:21" x14ac:dyDescent="0.45">
      <c r="C35" s="22">
        <v>10000000</v>
      </c>
      <c r="D35" s="22">
        <f>IF(基礎情報入力シート!C12+基礎情報入力シート!C17&lt;=10000000,基礎情報入力シート!C13-1955000,IF(AND(基礎情報入力シート!C12+基礎情報入力シート!C17&gt;10000000,基礎情報入力シート!C12+基礎情報入力シート!C17&lt;=20000000),基礎情報入力シート!C13-1855000,基礎情報入力シート!C13-1755000))</f>
        <v>-1955000</v>
      </c>
      <c r="E35" s="22">
        <f>E34</f>
        <v>-1555000</v>
      </c>
      <c r="F35" s="12"/>
      <c r="G35" s="22">
        <v>10000000</v>
      </c>
      <c r="H35" s="22">
        <f>IF(基礎情報入力シート!D12+基礎情報入力シート!D17&lt;=10000000,基礎情報入力シート!D13-1955000,IF(AND(基礎情報入力シート!D12+基礎情報入力シート!D17&gt;10000000,基礎情報入力シート!D12+基礎情報入力シート!D17&lt;=20000000),基礎情報入力シート!D13-1855000,基礎情報入力シート!D13-1755000))</f>
        <v>-1955000</v>
      </c>
      <c r="I35" s="22">
        <f>I34</f>
        <v>-1555000</v>
      </c>
      <c r="J35" s="12"/>
      <c r="K35" s="22">
        <v>10000000</v>
      </c>
      <c r="L35" s="22">
        <f>IF(基礎情報入力シート!E12+基礎情報入力シート!E17&lt;=10000000,基礎情報入力シート!E13-1955000,IF(AND(基礎情報入力シート!E12+基礎情報入力シート!E17&gt;10000000,基礎情報入力シート!E12+基礎情報入力シート!E17&lt;=20000000),基礎情報入力シート!E13-1855000,基礎情報入力シート!E13-1755000))</f>
        <v>-1955000</v>
      </c>
      <c r="M35" s="22">
        <f>M34</f>
        <v>-1555000</v>
      </c>
      <c r="N35" s="12"/>
      <c r="O35" s="22">
        <v>10000000</v>
      </c>
      <c r="P35" s="22">
        <f>IF(基礎情報入力シート!F12+基礎情報入力シート!F17&lt;=10000000,基礎情報入力シート!F13-1955000,IF(AND(基礎情報入力シート!F12+基礎情報入力シート!F17&gt;10000000,基礎情報入力シート!F12+基礎情報入力シート!F17&lt;=20000000),基礎情報入力シート!F13-1855000,基礎情報入力シート!F13-1755000))</f>
        <v>-1955000</v>
      </c>
      <c r="Q35" s="22">
        <f>Q34</f>
        <v>-1555000</v>
      </c>
      <c r="R35" s="12"/>
      <c r="S35" s="22">
        <v>10000000</v>
      </c>
      <c r="T35" s="22">
        <f>IF(基礎情報入力シート!G12+基礎情報入力シート!G17&lt;=10000000,基礎情報入力シート!G13-1955000,IF(AND(基礎情報入力シート!G12+基礎情報入力シート!G17&gt;10000000,基礎情報入力シート!G12+基礎情報入力シート!G17&lt;=20000000),基礎情報入力シート!G13-1855000,基礎情報入力シート!G13-1755000))</f>
        <v>-1955000</v>
      </c>
      <c r="U35" s="22">
        <f>U34</f>
        <v>-1555000</v>
      </c>
    </row>
    <row r="37" spans="1:21" x14ac:dyDescent="0.45">
      <c r="A37" s="411" t="s">
        <v>154</v>
      </c>
      <c r="B37" s="417"/>
    </row>
    <row r="38" spans="1:21" x14ac:dyDescent="0.45">
      <c r="C38" s="1" t="s">
        <v>145</v>
      </c>
      <c r="D38" s="1" t="s">
        <v>150</v>
      </c>
      <c r="E38" s="1" t="s">
        <v>151</v>
      </c>
      <c r="G38" s="1" t="s">
        <v>146</v>
      </c>
      <c r="H38" s="1" t="s">
        <v>150</v>
      </c>
      <c r="I38" s="1" t="s">
        <v>151</v>
      </c>
      <c r="K38" s="1" t="s">
        <v>156</v>
      </c>
      <c r="L38" s="1" t="s">
        <v>150</v>
      </c>
      <c r="M38" s="1" t="s">
        <v>151</v>
      </c>
      <c r="O38" s="1" t="s">
        <v>148</v>
      </c>
      <c r="P38" s="1" t="s">
        <v>150</v>
      </c>
      <c r="Q38" s="1" t="s">
        <v>151</v>
      </c>
      <c r="S38" s="1" t="s">
        <v>155</v>
      </c>
      <c r="T38" s="1" t="s">
        <v>150</v>
      </c>
      <c r="U38" s="1" t="s">
        <v>151</v>
      </c>
    </row>
    <row r="39" spans="1:21" x14ac:dyDescent="0.45">
      <c r="C39" s="22">
        <v>0</v>
      </c>
      <c r="D39" s="22">
        <v>430000</v>
      </c>
      <c r="E39" s="22">
        <v>330000</v>
      </c>
      <c r="G39" s="22">
        <v>0</v>
      </c>
      <c r="H39" s="22">
        <v>430000</v>
      </c>
      <c r="I39" s="22">
        <v>330000</v>
      </c>
      <c r="K39" s="22">
        <v>0</v>
      </c>
      <c r="L39" s="22">
        <v>430000</v>
      </c>
      <c r="M39" s="22">
        <v>330000</v>
      </c>
      <c r="O39" s="22">
        <v>0</v>
      </c>
      <c r="P39" s="22">
        <v>430000</v>
      </c>
      <c r="Q39" s="22">
        <v>330000</v>
      </c>
      <c r="S39" s="22">
        <v>0</v>
      </c>
      <c r="T39" s="22">
        <v>430000</v>
      </c>
      <c r="U39" s="22">
        <v>330000</v>
      </c>
    </row>
    <row r="40" spans="1:21" x14ac:dyDescent="0.45">
      <c r="C40" s="22">
        <v>24000001</v>
      </c>
      <c r="D40" s="22">
        <v>290000</v>
      </c>
      <c r="E40" s="22">
        <v>330000</v>
      </c>
      <c r="G40" s="22">
        <v>24000001</v>
      </c>
      <c r="H40" s="22">
        <v>290000</v>
      </c>
      <c r="I40" s="22">
        <v>330000</v>
      </c>
      <c r="K40" s="22">
        <v>24000001</v>
      </c>
      <c r="L40" s="22">
        <v>290000</v>
      </c>
      <c r="M40" s="22">
        <v>330000</v>
      </c>
      <c r="O40" s="22">
        <v>24000001</v>
      </c>
      <c r="P40" s="22">
        <v>290000</v>
      </c>
      <c r="Q40" s="22">
        <v>330000</v>
      </c>
      <c r="S40" s="22">
        <v>24000001</v>
      </c>
      <c r="T40" s="22">
        <v>290000</v>
      </c>
      <c r="U40" s="22">
        <v>330000</v>
      </c>
    </row>
    <row r="41" spans="1:21" x14ac:dyDescent="0.45">
      <c r="C41" s="22">
        <v>24500001</v>
      </c>
      <c r="D41" s="22">
        <v>150000</v>
      </c>
      <c r="E41" s="22">
        <v>330000</v>
      </c>
      <c r="G41" s="22">
        <v>24500001</v>
      </c>
      <c r="H41" s="22">
        <v>150000</v>
      </c>
      <c r="I41" s="22">
        <v>330000</v>
      </c>
      <c r="K41" s="22">
        <v>24500001</v>
      </c>
      <c r="L41" s="22">
        <v>150000</v>
      </c>
      <c r="M41" s="22">
        <v>330000</v>
      </c>
      <c r="O41" s="22">
        <v>24500001</v>
      </c>
      <c r="P41" s="22">
        <v>150000</v>
      </c>
      <c r="Q41" s="22">
        <v>330000</v>
      </c>
      <c r="S41" s="22">
        <v>24500001</v>
      </c>
      <c r="T41" s="22">
        <v>150000</v>
      </c>
      <c r="U41" s="22">
        <v>330000</v>
      </c>
    </row>
    <row r="42" spans="1:21" x14ac:dyDescent="0.45">
      <c r="C42" s="22">
        <v>25000001</v>
      </c>
      <c r="D42" s="22">
        <v>0</v>
      </c>
      <c r="E42" s="22">
        <v>330000</v>
      </c>
      <c r="G42" s="22">
        <v>25000001</v>
      </c>
      <c r="H42" s="22">
        <v>0</v>
      </c>
      <c r="I42" s="22">
        <v>330000</v>
      </c>
      <c r="K42" s="22">
        <v>25000001</v>
      </c>
      <c r="L42" s="22">
        <v>0</v>
      </c>
      <c r="M42" s="22">
        <v>330000</v>
      </c>
      <c r="O42" s="22">
        <v>25000001</v>
      </c>
      <c r="P42" s="22">
        <v>0</v>
      </c>
      <c r="Q42" s="22">
        <v>330000</v>
      </c>
      <c r="S42" s="22">
        <v>25000001</v>
      </c>
      <c r="T42" s="22">
        <v>0</v>
      </c>
      <c r="U42" s="22">
        <v>330000</v>
      </c>
    </row>
    <row r="44" spans="1:21" x14ac:dyDescent="0.45">
      <c r="A44" s="416" t="s">
        <v>81</v>
      </c>
      <c r="B44" s="295"/>
    </row>
    <row r="45" spans="1:21" x14ac:dyDescent="0.45">
      <c r="C45" s="2" t="s">
        <v>82</v>
      </c>
      <c r="D45" s="2" t="s">
        <v>83</v>
      </c>
      <c r="E45" s="2" t="s">
        <v>84</v>
      </c>
      <c r="F45" s="2" t="s">
        <v>85</v>
      </c>
      <c r="G45" s="2" t="s">
        <v>86</v>
      </c>
      <c r="H45" s="2" t="s">
        <v>87</v>
      </c>
      <c r="I45" s="2" t="s">
        <v>88</v>
      </c>
      <c r="J45" s="2" t="s">
        <v>89</v>
      </c>
      <c r="K45" s="2" t="s">
        <v>90</v>
      </c>
      <c r="L45" s="2" t="s">
        <v>91</v>
      </c>
      <c r="M45" s="2" t="s">
        <v>92</v>
      </c>
      <c r="N45" s="2" t="s">
        <v>93</v>
      </c>
    </row>
    <row r="46" spans="1:21" x14ac:dyDescent="0.45">
      <c r="B46" s="1" t="s">
        <v>141</v>
      </c>
      <c r="C46" s="3">
        <f>EDATE(DATEVALUE("R"&amp;基礎情報入力シート!$B$1&amp;".4.1"),1)</f>
        <v>45413</v>
      </c>
      <c r="D46" s="3">
        <f>EDATE(DATEVALUE("R"&amp;基礎情報入力シート!$B$1&amp;".4.1"),2)</f>
        <v>45444</v>
      </c>
      <c r="E46" s="3">
        <f>EDATE(DATEVALUE("R"&amp;基礎情報入力シート!$B$1&amp;".4.1"),3)</f>
        <v>45474</v>
      </c>
      <c r="F46" s="3">
        <f>EDATE(DATEVALUE("R"&amp;基礎情報入力シート!$B$1&amp;".4.1"),4)</f>
        <v>45505</v>
      </c>
      <c r="G46" s="3">
        <f>EDATE(DATEVALUE("R"&amp;基礎情報入力シート!$B$1&amp;".4.1"),5)</f>
        <v>45536</v>
      </c>
      <c r="H46" s="3">
        <f>EDATE(DATEVALUE("R"&amp;基礎情報入力シート!$B$1&amp;".4.1"),6)</f>
        <v>45566</v>
      </c>
      <c r="I46" s="3">
        <f>EDATE(DATEVALUE("R"&amp;基礎情報入力シート!$B$1&amp;".4.1"),7)</f>
        <v>45597</v>
      </c>
      <c r="J46" s="3">
        <f>EDATE(DATEVALUE("R"&amp;基礎情報入力シート!$B$1&amp;".4.1"),8)</f>
        <v>45627</v>
      </c>
      <c r="K46" s="3">
        <f>EDATE(DATEVALUE("R"&amp;基礎情報入力シート!$B$1&amp;".4.1"),9)</f>
        <v>45658</v>
      </c>
      <c r="L46" s="3">
        <f>EDATE(DATEVALUE("R"&amp;基礎情報入力シート!$B$1&amp;".4.1"),10)</f>
        <v>45689</v>
      </c>
      <c r="M46" s="3">
        <f>EDATE(DATEVALUE("R"&amp;基礎情報入力シート!$B$1&amp;".4.1"),11)</f>
        <v>45717</v>
      </c>
      <c r="N46" s="3">
        <f>EDATE(DATEVALUE("R"&amp;基礎情報入力シート!$B$1&amp;".4.1"),12)</f>
        <v>45748</v>
      </c>
    </row>
    <row r="47" spans="1:21" x14ac:dyDescent="0.45">
      <c r="B47" s="1" t="s">
        <v>97</v>
      </c>
      <c r="C47" s="3">
        <f>EDATE(DATEVALUE("R"&amp;基礎情報入力シート!$B$1&amp;".4.1"),-479)+1</f>
        <v>30804</v>
      </c>
      <c r="D47" s="3">
        <f>EDATE(DATEVALUE("R"&amp;基礎情報入力シート!$B$1&amp;".4.1"),-478)+1</f>
        <v>30835</v>
      </c>
      <c r="E47" s="3">
        <f>EDATE(DATEVALUE("R"&amp;基礎情報入力シート!$B$1&amp;".4.1"),-477)+1</f>
        <v>30865</v>
      </c>
      <c r="F47" s="3">
        <f>EDATE(DATEVALUE("R"&amp;基礎情報入力シート!$B$1&amp;".4.1"),-476)+1</f>
        <v>30896</v>
      </c>
      <c r="G47" s="3">
        <f>EDATE(DATEVALUE("R"&amp;基礎情報入力シート!$B$1&amp;".4.1"),-475)+1</f>
        <v>30927</v>
      </c>
      <c r="H47" s="3">
        <f>EDATE(DATEVALUE("R"&amp;基礎情報入力シート!$B$1&amp;".4.1"),-474)+1</f>
        <v>30957</v>
      </c>
      <c r="I47" s="3">
        <f>EDATE(DATEVALUE("R"&amp;基礎情報入力シート!$B$1&amp;".4.1"),-473)+1</f>
        <v>30988</v>
      </c>
      <c r="J47" s="3">
        <f>EDATE(DATEVALUE("R"&amp;基礎情報入力シート!$B$1&amp;".4.1"),-472)+1</f>
        <v>31018</v>
      </c>
      <c r="K47" s="3">
        <f>EDATE(DATEVALUE("R"&amp;基礎情報入力シート!$B$1&amp;".4.1"),-471)+1</f>
        <v>31049</v>
      </c>
      <c r="L47" s="3">
        <f>EDATE(DATEVALUE("R"&amp;基礎情報入力シート!$B$1&amp;".4.1"),-470)+1</f>
        <v>31080</v>
      </c>
      <c r="M47" s="3">
        <f>EDATE(DATEVALUE("R"&amp;基礎情報入力シート!$B$1&amp;".4.1"),-469)+1</f>
        <v>31108</v>
      </c>
      <c r="N47" s="3">
        <f>EDATE(DATEVALUE("R"&amp;基礎情報入力シート!$B$1&amp;".4.1"),-468)+1</f>
        <v>31139</v>
      </c>
    </row>
    <row r="48" spans="1:21" x14ac:dyDescent="0.45">
      <c r="B48" s="1" t="s">
        <v>98</v>
      </c>
      <c r="C48" s="3">
        <f>EDATE(DATEVALUE("R"&amp;基礎情報入力シート!$B$1&amp;".4.1"),-779)</f>
        <v>21671</v>
      </c>
      <c r="D48" s="3">
        <f>EDATE(DATEVALUE("R"&amp;基礎情報入力シート!$B$1&amp;".4.1"),-778)</f>
        <v>21702</v>
      </c>
      <c r="E48" s="3">
        <f>EDATE(DATEVALUE("R"&amp;基礎情報入力シート!$B$1&amp;".4.1"),-777)</f>
        <v>21732</v>
      </c>
      <c r="F48" s="3">
        <f>EDATE(DATEVALUE("R"&amp;基礎情報入力シート!$B$1&amp;".4.1"),-776)</f>
        <v>21763</v>
      </c>
      <c r="G48" s="3">
        <f>EDATE(DATEVALUE("R"&amp;基礎情報入力シート!$B$1&amp;".4.1"),-775)</f>
        <v>21794</v>
      </c>
      <c r="H48" s="3">
        <f>EDATE(DATEVALUE("R"&amp;基礎情報入力シート!$B$1&amp;".4.1"),-774)</f>
        <v>21824</v>
      </c>
      <c r="I48" s="3">
        <f>EDATE(DATEVALUE("R"&amp;基礎情報入力シート!$B$1&amp;".4.1"),-773)</f>
        <v>21855</v>
      </c>
      <c r="J48" s="3">
        <f>EDATE(DATEVALUE("R"&amp;基礎情報入力シート!$B$1&amp;".4.1"),-772)</f>
        <v>21885</v>
      </c>
      <c r="K48" s="3">
        <f>EDATE(DATEVALUE("R"&amp;基礎情報入力シート!$B$1&amp;".4.1"),-771)</f>
        <v>21916</v>
      </c>
      <c r="L48" s="3">
        <f>EDATE(DATEVALUE("R"&amp;基礎情報入力シート!$B$1&amp;".4.1"),-770)</f>
        <v>21947</v>
      </c>
      <c r="M48" s="3">
        <f>EDATE(DATEVALUE("R"&amp;基礎情報入力シート!$B$1&amp;".4.1"),-769)</f>
        <v>21976</v>
      </c>
      <c r="N48" s="3">
        <f>EDATE(DATEVALUE("R"&amp;基礎情報入力シート!$B$1&amp;".4.1"),-768)</f>
        <v>22007</v>
      </c>
    </row>
    <row r="49" spans="1:14" x14ac:dyDescent="0.45">
      <c r="B49" s="1" t="s">
        <v>94</v>
      </c>
      <c r="C49" s="3">
        <f>EDATE(DATEVALUE("R"&amp;基礎情報入力シート!$B$1&amp;".4.1"),-899)-1</f>
        <v>18018</v>
      </c>
      <c r="D49" s="3">
        <f>EDATE(DATEVALUE("R"&amp;基礎情報入力シート!$B$1&amp;".4.1"),-898)-1</f>
        <v>18049</v>
      </c>
      <c r="E49" s="3">
        <f>EDATE(DATEVALUE("R"&amp;基礎情報入力シート!$B$1&amp;".4.1"),-897)-1</f>
        <v>18079</v>
      </c>
      <c r="F49" s="3">
        <f>EDATE(DATEVALUE("R"&amp;基礎情報入力シート!$B$1&amp;".4.1"),-896)-1</f>
        <v>18110</v>
      </c>
      <c r="G49" s="3">
        <f>EDATE(DATEVALUE("R"&amp;基礎情報入力シート!$B$1&amp;".4.1"),-895)-1</f>
        <v>18141</v>
      </c>
      <c r="H49" s="3">
        <f>EDATE(DATEVALUE("R"&amp;基礎情報入力シート!$B$1&amp;".4.1"),-894)-1</f>
        <v>18171</v>
      </c>
      <c r="I49" s="3">
        <f>EDATE(DATEVALUE("R"&amp;基礎情報入力シート!$B$1&amp;".4.1"),-893)-1</f>
        <v>18202</v>
      </c>
      <c r="J49" s="3">
        <f>EDATE(DATEVALUE("R"&amp;基礎情報入力シート!$B$1&amp;".4.1"),-892)-1</f>
        <v>18232</v>
      </c>
      <c r="K49" s="3">
        <f>EDATE(DATEVALUE("R"&amp;基礎情報入力シート!$B$1&amp;".4.1"),-891)-1</f>
        <v>18263</v>
      </c>
      <c r="L49" s="3">
        <f>EDATE(DATEVALUE("R"&amp;基礎情報入力シート!$B$1&amp;".4.1"),-890)-1</f>
        <v>18294</v>
      </c>
      <c r="M49" s="3">
        <f>EDATE(DATEVALUE("R"&amp;基礎情報入力シート!$B$1&amp;".4.1"),-889)-1</f>
        <v>18322</v>
      </c>
      <c r="N49" s="3">
        <f>EDATE(DATEVALUE("R"&amp;基礎情報入力シート!$B$1&amp;".4.1"),-888)-1</f>
        <v>18353</v>
      </c>
    </row>
    <row r="50" spans="1:14" x14ac:dyDescent="0.45">
      <c r="B50"/>
    </row>
    <row r="52" spans="1:14" x14ac:dyDescent="0.45">
      <c r="A52" s="84" t="s">
        <v>31</v>
      </c>
    </row>
    <row r="53" spans="1:14" x14ac:dyDescent="0.45">
      <c r="A53" s="84" t="s">
        <v>32</v>
      </c>
      <c r="B53" s="1" t="s">
        <v>34</v>
      </c>
      <c r="C53" s="1">
        <v>2</v>
      </c>
      <c r="D53" s="1">
        <v>3</v>
      </c>
      <c r="E53" s="1">
        <v>4</v>
      </c>
      <c r="F53" s="1">
        <v>5</v>
      </c>
      <c r="G53" s="1">
        <v>6</v>
      </c>
    </row>
    <row r="54" spans="1:14" x14ac:dyDescent="0.45">
      <c r="A54" s="84" t="s">
        <v>33</v>
      </c>
      <c r="B54" s="1" t="s">
        <v>22</v>
      </c>
      <c r="C54" s="1">
        <v>5.48</v>
      </c>
      <c r="D54" s="1">
        <v>5.48</v>
      </c>
      <c r="E54" s="1">
        <v>5.59</v>
      </c>
      <c r="F54" s="1">
        <v>5.59</v>
      </c>
      <c r="G54" s="1">
        <v>5.81</v>
      </c>
    </row>
    <row r="55" spans="1:14" x14ac:dyDescent="0.45">
      <c r="A55" s="84" t="s">
        <v>112</v>
      </c>
      <c r="B55" s="1" t="s">
        <v>127</v>
      </c>
      <c r="C55" s="1">
        <v>1.78</v>
      </c>
      <c r="D55" s="1">
        <v>1.78</v>
      </c>
      <c r="E55" s="1">
        <v>1.82</v>
      </c>
      <c r="F55" s="1">
        <v>1.82</v>
      </c>
      <c r="G55" s="1">
        <v>1.89</v>
      </c>
    </row>
    <row r="56" spans="1:14" x14ac:dyDescent="0.45">
      <c r="A56" s="84" t="s">
        <v>124</v>
      </c>
      <c r="B56" s="1" t="s">
        <v>23</v>
      </c>
      <c r="C56" s="1">
        <v>1.58</v>
      </c>
      <c r="D56" s="1">
        <v>1.58</v>
      </c>
      <c r="E56" s="1">
        <v>1.62</v>
      </c>
      <c r="F56" s="1">
        <v>1.62</v>
      </c>
      <c r="G56" s="1">
        <v>1.68</v>
      </c>
    </row>
    <row r="57" spans="1:14" x14ac:dyDescent="0.45">
      <c r="B57" s="1" t="s">
        <v>24</v>
      </c>
      <c r="C57" s="12">
        <v>27600</v>
      </c>
      <c r="D57" s="12">
        <v>27600</v>
      </c>
      <c r="E57" s="12">
        <v>28200</v>
      </c>
      <c r="F57" s="12">
        <v>28200</v>
      </c>
      <c r="G57" s="12">
        <v>29300</v>
      </c>
    </row>
    <row r="58" spans="1:14" x14ac:dyDescent="0.45">
      <c r="B58" s="1" t="s">
        <v>128</v>
      </c>
      <c r="C58" s="12">
        <v>11400</v>
      </c>
      <c r="D58" s="12">
        <v>11400</v>
      </c>
      <c r="E58" s="12">
        <v>11600</v>
      </c>
      <c r="F58" s="12">
        <v>11600</v>
      </c>
      <c r="G58" s="12">
        <v>12000</v>
      </c>
    </row>
    <row r="59" spans="1:14" x14ac:dyDescent="0.45">
      <c r="B59" s="1" t="s">
        <v>25</v>
      </c>
      <c r="C59" s="12">
        <v>11600</v>
      </c>
      <c r="D59" s="12">
        <v>11600</v>
      </c>
      <c r="E59" s="12">
        <v>11800</v>
      </c>
      <c r="F59" s="12">
        <v>11800</v>
      </c>
      <c r="G59" s="12">
        <v>12200</v>
      </c>
    </row>
    <row r="60" spans="1:14" x14ac:dyDescent="0.45">
      <c r="B60" s="1" t="s">
        <v>158</v>
      </c>
      <c r="C60" s="12">
        <v>330000</v>
      </c>
      <c r="D60" s="12">
        <v>430000</v>
      </c>
      <c r="E60" s="12">
        <v>430000</v>
      </c>
      <c r="F60" s="12">
        <v>430000</v>
      </c>
      <c r="G60" s="12">
        <v>430000</v>
      </c>
    </row>
    <row r="61" spans="1:14" x14ac:dyDescent="0.45">
      <c r="B61" s="1" t="s">
        <v>159</v>
      </c>
      <c r="C61" s="12">
        <v>0</v>
      </c>
      <c r="D61" s="12">
        <v>100000</v>
      </c>
      <c r="E61" s="12">
        <v>100000</v>
      </c>
      <c r="F61" s="12">
        <v>100000</v>
      </c>
      <c r="G61" s="12">
        <v>100000</v>
      </c>
    </row>
    <row r="62" spans="1:14" x14ac:dyDescent="0.45">
      <c r="B62" s="1" t="s">
        <v>26</v>
      </c>
      <c r="C62" s="12">
        <v>285000</v>
      </c>
      <c r="D62" s="12">
        <v>285000</v>
      </c>
      <c r="E62" s="12">
        <v>285000</v>
      </c>
      <c r="F62" s="12">
        <v>290000</v>
      </c>
      <c r="G62" s="12">
        <v>295000</v>
      </c>
    </row>
    <row r="63" spans="1:14" x14ac:dyDescent="0.45">
      <c r="B63" s="1" t="s">
        <v>27</v>
      </c>
      <c r="C63" s="12">
        <v>520000</v>
      </c>
      <c r="D63" s="12">
        <v>520000</v>
      </c>
      <c r="E63" s="12">
        <v>520000</v>
      </c>
      <c r="F63" s="12">
        <v>535000</v>
      </c>
      <c r="G63" s="12">
        <v>545000</v>
      </c>
    </row>
    <row r="64" spans="1:14" x14ac:dyDescent="0.45">
      <c r="B64" s="1" t="s">
        <v>28</v>
      </c>
      <c r="C64" s="12">
        <v>630000</v>
      </c>
      <c r="D64" s="12">
        <v>630000</v>
      </c>
      <c r="E64" s="12">
        <v>650000</v>
      </c>
      <c r="F64" s="12">
        <v>650000</v>
      </c>
      <c r="G64" s="12">
        <v>650000</v>
      </c>
    </row>
    <row r="65" spans="1:7" x14ac:dyDescent="0.45">
      <c r="B65" s="1" t="s">
        <v>129</v>
      </c>
      <c r="C65" s="12">
        <v>190000</v>
      </c>
      <c r="D65" s="12">
        <v>190000</v>
      </c>
      <c r="E65" s="12">
        <v>200000</v>
      </c>
      <c r="F65" s="12">
        <v>220000</v>
      </c>
      <c r="G65" s="12">
        <v>240000</v>
      </c>
    </row>
    <row r="66" spans="1:7" x14ac:dyDescent="0.45">
      <c r="B66" s="1" t="s">
        <v>29</v>
      </c>
      <c r="C66" s="12">
        <v>170000</v>
      </c>
      <c r="D66" s="12">
        <v>170000</v>
      </c>
      <c r="E66" s="12">
        <v>170000</v>
      </c>
      <c r="F66" s="12">
        <v>170000</v>
      </c>
      <c r="G66" s="12">
        <v>170000</v>
      </c>
    </row>
    <row r="67" spans="1:7" x14ac:dyDescent="0.45">
      <c r="B67" s="1" t="s">
        <v>30</v>
      </c>
      <c r="C67" s="1">
        <v>0</v>
      </c>
      <c r="D67" s="1">
        <v>0</v>
      </c>
      <c r="E67" s="1">
        <v>0.5</v>
      </c>
      <c r="F67" s="1">
        <v>0.5</v>
      </c>
      <c r="G67" s="1">
        <v>0.5</v>
      </c>
    </row>
    <row r="68" spans="1:7" x14ac:dyDescent="0.45">
      <c r="B68" s="1" t="s">
        <v>157</v>
      </c>
      <c r="C68" s="12">
        <v>2</v>
      </c>
      <c r="D68" s="12">
        <v>1</v>
      </c>
      <c r="E68" s="12">
        <v>1</v>
      </c>
      <c r="F68" s="12">
        <v>1</v>
      </c>
      <c r="G68" s="12">
        <v>1</v>
      </c>
    </row>
    <row r="70" spans="1:7" x14ac:dyDescent="0.45">
      <c r="A70" s="417" t="s">
        <v>56</v>
      </c>
      <c r="B70" s="412"/>
      <c r="C70" s="14"/>
      <c r="D70" s="20"/>
    </row>
    <row r="71" spans="1:7" x14ac:dyDescent="0.45">
      <c r="B71" s="14">
        <v>11</v>
      </c>
      <c r="C71" s="14" t="s">
        <v>39</v>
      </c>
      <c r="D71" s="414" t="s">
        <v>41</v>
      </c>
      <c r="E71" s="415"/>
      <c r="F71" s="415"/>
      <c r="G71" s="415"/>
    </row>
    <row r="72" spans="1:7" x14ac:dyDescent="0.45">
      <c r="B72" s="14">
        <v>12</v>
      </c>
      <c r="C72" s="14" t="s">
        <v>40</v>
      </c>
      <c r="D72" s="414" t="s">
        <v>42</v>
      </c>
      <c r="E72" s="415"/>
      <c r="F72" s="415"/>
      <c r="G72" s="415"/>
    </row>
    <row r="73" spans="1:7" x14ac:dyDescent="0.45">
      <c r="B73" s="15">
        <v>21</v>
      </c>
      <c r="C73" s="14" t="s">
        <v>39</v>
      </c>
      <c r="D73" s="414" t="s">
        <v>44</v>
      </c>
      <c r="E73" s="415"/>
      <c r="F73" s="415"/>
      <c r="G73" s="415"/>
    </row>
    <row r="74" spans="1:7" x14ac:dyDescent="0.45">
      <c r="B74" s="15">
        <v>22</v>
      </c>
      <c r="C74" s="14" t="s">
        <v>39</v>
      </c>
      <c r="D74" s="414" t="s">
        <v>45</v>
      </c>
      <c r="E74" s="415"/>
      <c r="F74" s="415"/>
      <c r="G74" s="415"/>
    </row>
    <row r="75" spans="1:7" x14ac:dyDescent="0.45">
      <c r="B75" s="15">
        <v>23</v>
      </c>
      <c r="C75" s="14" t="s">
        <v>39</v>
      </c>
      <c r="D75" s="414" t="s">
        <v>46</v>
      </c>
      <c r="E75" s="415"/>
      <c r="F75" s="415"/>
      <c r="G75" s="415"/>
    </row>
    <row r="76" spans="1:7" x14ac:dyDescent="0.45">
      <c r="B76" s="15">
        <v>31</v>
      </c>
      <c r="C76" s="14" t="s">
        <v>39</v>
      </c>
      <c r="D76" s="414" t="s">
        <v>49</v>
      </c>
      <c r="E76" s="415"/>
      <c r="F76" s="415"/>
      <c r="G76" s="415"/>
    </row>
    <row r="77" spans="1:7" x14ac:dyDescent="0.45">
      <c r="B77" s="15">
        <v>32</v>
      </c>
      <c r="C77" s="14" t="s">
        <v>39</v>
      </c>
      <c r="D77" s="414" t="s">
        <v>50</v>
      </c>
      <c r="E77" s="415"/>
      <c r="F77" s="415"/>
      <c r="G77" s="415"/>
    </row>
    <row r="78" spans="1:7" x14ac:dyDescent="0.45">
      <c r="B78" s="15">
        <v>33</v>
      </c>
      <c r="C78" s="14" t="s">
        <v>39</v>
      </c>
      <c r="D78" s="414" t="s">
        <v>51</v>
      </c>
      <c r="E78" s="415"/>
      <c r="F78" s="415"/>
      <c r="G78" s="415"/>
    </row>
    <row r="79" spans="1:7" x14ac:dyDescent="0.45">
      <c r="B79" s="15">
        <v>34</v>
      </c>
      <c r="C79" s="14" t="s">
        <v>39</v>
      </c>
      <c r="D79" s="414" t="s">
        <v>52</v>
      </c>
      <c r="E79" s="415"/>
      <c r="F79" s="415"/>
      <c r="G79" s="415"/>
    </row>
    <row r="80" spans="1:7" x14ac:dyDescent="0.45">
      <c r="B80" s="14">
        <v>20</v>
      </c>
      <c r="C80" s="14"/>
      <c r="D80" s="414" t="s">
        <v>43</v>
      </c>
      <c r="E80" s="415"/>
      <c r="F80" s="415"/>
      <c r="G80" s="415"/>
    </row>
    <row r="81" spans="1:10" x14ac:dyDescent="0.45">
      <c r="B81" s="15">
        <v>24</v>
      </c>
      <c r="C81" s="14"/>
      <c r="D81" s="414" t="s">
        <v>47</v>
      </c>
      <c r="E81" s="415"/>
      <c r="F81" s="415"/>
      <c r="G81" s="415"/>
    </row>
    <row r="82" spans="1:10" x14ac:dyDescent="0.45">
      <c r="B82" s="15">
        <v>25</v>
      </c>
      <c r="C82" s="14"/>
      <c r="D82" s="414" t="s">
        <v>48</v>
      </c>
      <c r="E82" s="415"/>
      <c r="F82" s="415"/>
      <c r="G82" s="415"/>
    </row>
    <row r="83" spans="1:10" x14ac:dyDescent="0.45">
      <c r="B83" s="15">
        <v>40</v>
      </c>
      <c r="C83" s="14"/>
      <c r="D83" s="414" t="s">
        <v>53</v>
      </c>
      <c r="E83" s="415"/>
      <c r="F83" s="415"/>
      <c r="G83" s="415"/>
    </row>
    <row r="84" spans="1:10" x14ac:dyDescent="0.45">
      <c r="B84" s="15">
        <v>45</v>
      </c>
      <c r="C84" s="14"/>
      <c r="D84" s="414" t="s">
        <v>54</v>
      </c>
      <c r="E84" s="415"/>
      <c r="F84" s="415"/>
      <c r="G84" s="415"/>
    </row>
    <row r="85" spans="1:10" x14ac:dyDescent="0.45">
      <c r="B85" s="15">
        <v>50</v>
      </c>
      <c r="C85" s="14"/>
      <c r="D85" s="414" t="s">
        <v>55</v>
      </c>
      <c r="E85" s="415"/>
      <c r="F85" s="415"/>
      <c r="G85" s="415"/>
    </row>
    <row r="87" spans="1:10" x14ac:dyDescent="0.45">
      <c r="A87" s="411" t="s">
        <v>106</v>
      </c>
      <c r="B87" s="412"/>
    </row>
    <row r="88" spans="1:10" x14ac:dyDescent="0.45">
      <c r="A88" s="70">
        <f>基礎情報入力シート!B1</f>
        <v>6</v>
      </c>
      <c r="B88" s="1" t="s">
        <v>107</v>
      </c>
      <c r="C88" s="1">
        <f>IF(作業・変換!J102&gt;5,16-作業・変換!J102,4-作業・変換!J102)</f>
        <v>10</v>
      </c>
      <c r="D88" s="1" t="s">
        <v>108</v>
      </c>
      <c r="E88" s="71">
        <f>税額試算書!S10</f>
        <v>0</v>
      </c>
      <c r="F88" s="1" t="s">
        <v>109</v>
      </c>
      <c r="G88" s="1">
        <v>3</v>
      </c>
      <c r="H88" s="1" t="s">
        <v>110</v>
      </c>
      <c r="I88" s="1" t="s">
        <v>113</v>
      </c>
      <c r="J88" s="1" t="s">
        <v>114</v>
      </c>
    </row>
    <row r="89" spans="1:10" x14ac:dyDescent="0.45">
      <c r="A89" s="75">
        <f>IF(C88&lt;G88+1,G88+1-C88,G88+13-C88)</f>
        <v>6</v>
      </c>
      <c r="B89" s="76">
        <f>VLOOKUP(A89,G$89:J$100,4)</f>
        <v>45474</v>
      </c>
      <c r="C89" s="74">
        <v>1</v>
      </c>
      <c r="D89" s="77">
        <f>E88-SUM(D90:D100)</f>
        <v>0</v>
      </c>
      <c r="F89" s="1" t="s">
        <v>111</v>
      </c>
      <c r="G89" s="1">
        <v>1</v>
      </c>
      <c r="H89" s="72">
        <v>31</v>
      </c>
      <c r="I89" s="73" t="str">
        <f>IF($A$88&gt;1900,DATEVALUE($A$88+1&amp;"/"&amp;G89&amp;"/"&amp;H89),"令和"&amp;$A$88+1&amp;"年"&amp;G89&amp;"月"&amp;H89&amp;"日")</f>
        <v>令和7年1月31日</v>
      </c>
      <c r="J89" s="73">
        <f>IF(WEEKDAY(I89)=1,I89+1,IF(WEEKDAY(I89)=7,I89+2,I89+0))</f>
        <v>45688</v>
      </c>
    </row>
    <row r="90" spans="1:10" x14ac:dyDescent="0.45">
      <c r="A90" s="75" t="str">
        <f>IF(D90&gt;0,IF(A89&gt;11,A89-11,A89+1),"")</f>
        <v/>
      </c>
      <c r="B90" s="76" t="str">
        <f>IF(D90&gt;0,VLOOKUP(A90,G$89:J$100,4),"")</f>
        <v/>
      </c>
      <c r="C90" s="74">
        <v>2</v>
      </c>
      <c r="D90" s="78">
        <f>IF(C$88&lt;C90,0,ROUNDDOWN((E$88-SUM(D91:D$100))/C90,-3))</f>
        <v>0</v>
      </c>
      <c r="G90" s="1">
        <v>2</v>
      </c>
      <c r="H90" s="72">
        <f>IF($A$88&gt;1900,IF(MOD($A$88+1,4)=0,29,28),IF(MOD($A$88+1,4)=2,29,28))</f>
        <v>28</v>
      </c>
      <c r="I90" s="73" t="str">
        <f t="shared" ref="I90:I91" si="0">IF($A$88&gt;1900,DATEVALUE($A$88+1&amp;"/"&amp;G90&amp;"/"&amp;H90),"令和"&amp;$A$88+1&amp;"年"&amp;G90&amp;"月"&amp;H90&amp;"日")</f>
        <v>令和7年2月28日</v>
      </c>
      <c r="J90" s="73">
        <f t="shared" ref="J90:J100" si="1">IF(WEEKDAY(I90)=1,I90+1,IF(WEEKDAY(I90)=7,I90+2,I90+0))</f>
        <v>45716</v>
      </c>
    </row>
    <row r="91" spans="1:10" x14ac:dyDescent="0.45">
      <c r="A91" s="75" t="str">
        <f t="shared" ref="A91:A100" si="2">IF(D91&gt;0,IF(A90&gt;11,A90-11,A90+1),"")</f>
        <v/>
      </c>
      <c r="B91" s="76" t="str">
        <f t="shared" ref="B91:B100" si="3">IF(D91&gt;0,VLOOKUP(A91,G$89:J$100,4),"")</f>
        <v/>
      </c>
      <c r="C91" s="74">
        <v>3</v>
      </c>
      <c r="D91" s="78">
        <f>IF(C$88&lt;C91,0,ROUNDDOWN((E$88-SUM(D92:D$100))/C91,-3))</f>
        <v>0</v>
      </c>
      <c r="G91" s="211">
        <v>3</v>
      </c>
      <c r="H91" s="212">
        <v>29</v>
      </c>
      <c r="I91" s="213" t="str">
        <f t="shared" si="0"/>
        <v>令和7年3月29日</v>
      </c>
      <c r="J91" s="213">
        <f t="shared" si="1"/>
        <v>45747</v>
      </c>
    </row>
    <row r="92" spans="1:10" x14ac:dyDescent="0.45">
      <c r="A92" s="75" t="str">
        <f t="shared" si="2"/>
        <v/>
      </c>
      <c r="B92" s="76" t="str">
        <f t="shared" si="3"/>
        <v/>
      </c>
      <c r="C92" s="74">
        <v>4</v>
      </c>
      <c r="D92" s="78">
        <f>IF(C$88&lt;C92,0,ROUNDDOWN((E$88-SUM(D93:D$100))/C92,-3))</f>
        <v>0</v>
      </c>
      <c r="G92" s="1">
        <v>4</v>
      </c>
      <c r="H92" s="72">
        <v>30</v>
      </c>
      <c r="I92" s="73" t="str">
        <f>IF($A$88&gt;1900,DATEVALUE($A$88&amp;"/"&amp;G92&amp;"/"&amp;H92),"令和"&amp;$A$88&amp;"年"&amp;G92&amp;"月"&amp;H92&amp;"日")</f>
        <v>令和6年4月30日</v>
      </c>
      <c r="J92" s="73">
        <f t="shared" si="1"/>
        <v>45412</v>
      </c>
    </row>
    <row r="93" spans="1:10" x14ac:dyDescent="0.45">
      <c r="A93" s="75" t="str">
        <f t="shared" si="2"/>
        <v/>
      </c>
      <c r="B93" s="76" t="str">
        <f t="shared" si="3"/>
        <v/>
      </c>
      <c r="C93" s="74">
        <v>5</v>
      </c>
      <c r="D93" s="78">
        <f>IF(C$88&lt;C93,0,ROUNDDOWN((E$88-SUM(D94:D$100))/C93,-3))</f>
        <v>0</v>
      </c>
      <c r="G93" s="1">
        <v>5</v>
      </c>
      <c r="H93" s="72">
        <v>31</v>
      </c>
      <c r="I93" s="73" t="str">
        <f t="shared" ref="I93:I100" si="4">IF($A$88&gt;1900,DATEVALUE($A$88&amp;"/"&amp;G93&amp;"/"&amp;H93),"令和"&amp;$A$88&amp;"年"&amp;G93&amp;"月"&amp;H93&amp;"日")</f>
        <v>令和6年5月31日</v>
      </c>
      <c r="J93" s="73">
        <f t="shared" si="1"/>
        <v>45443</v>
      </c>
    </row>
    <row r="94" spans="1:10" x14ac:dyDescent="0.45">
      <c r="A94" s="75" t="str">
        <f t="shared" si="2"/>
        <v/>
      </c>
      <c r="B94" s="76" t="str">
        <f t="shared" si="3"/>
        <v/>
      </c>
      <c r="C94" s="74">
        <v>6</v>
      </c>
      <c r="D94" s="78">
        <f>IF(C$88&lt;C94,0,ROUNDDOWN((E$88-SUM(D95:D$100))/C94,-3))</f>
        <v>0</v>
      </c>
      <c r="G94" s="1">
        <v>6</v>
      </c>
      <c r="H94" s="72">
        <v>30</v>
      </c>
      <c r="I94" s="73" t="str">
        <f t="shared" si="4"/>
        <v>令和6年6月30日</v>
      </c>
      <c r="J94" s="73">
        <f t="shared" si="1"/>
        <v>45474</v>
      </c>
    </row>
    <row r="95" spans="1:10" x14ac:dyDescent="0.45">
      <c r="A95" s="75" t="str">
        <f t="shared" si="2"/>
        <v/>
      </c>
      <c r="B95" s="76" t="str">
        <f t="shared" si="3"/>
        <v/>
      </c>
      <c r="C95" s="74">
        <v>7</v>
      </c>
      <c r="D95" s="78">
        <f>IF(C$88&lt;C95,0,ROUNDDOWN((E$88-SUM(D96:D$100))/C95,-3))</f>
        <v>0</v>
      </c>
      <c r="G95" s="1">
        <v>7</v>
      </c>
      <c r="H95" s="72">
        <v>31</v>
      </c>
      <c r="I95" s="73" t="str">
        <f t="shared" si="4"/>
        <v>令和6年7月31日</v>
      </c>
      <c r="J95" s="73">
        <f t="shared" si="1"/>
        <v>45504</v>
      </c>
    </row>
    <row r="96" spans="1:10" x14ac:dyDescent="0.45">
      <c r="A96" s="75" t="str">
        <f t="shared" si="2"/>
        <v/>
      </c>
      <c r="B96" s="76" t="str">
        <f t="shared" si="3"/>
        <v/>
      </c>
      <c r="C96" s="74">
        <v>8</v>
      </c>
      <c r="D96" s="78">
        <f>IF(C$88&lt;C96,0,ROUNDDOWN((E$88-SUM(D97:D$100))/C96,-3))</f>
        <v>0</v>
      </c>
      <c r="G96" s="1">
        <v>8</v>
      </c>
      <c r="H96" s="72">
        <v>31</v>
      </c>
      <c r="I96" s="73" t="str">
        <f t="shared" si="4"/>
        <v>令和6年8月31日</v>
      </c>
      <c r="J96" s="73">
        <f t="shared" si="1"/>
        <v>45537</v>
      </c>
    </row>
    <row r="97" spans="1:14" x14ac:dyDescent="0.45">
      <c r="A97" s="75" t="str">
        <f t="shared" si="2"/>
        <v/>
      </c>
      <c r="B97" s="76" t="str">
        <f t="shared" si="3"/>
        <v/>
      </c>
      <c r="C97" s="74">
        <v>9</v>
      </c>
      <c r="D97" s="78">
        <f>IF(C$88&lt;C97,0,ROUNDDOWN((E$88-SUM(D98:D$100))/C97,-3))</f>
        <v>0</v>
      </c>
      <c r="G97" s="1">
        <v>9</v>
      </c>
      <c r="H97" s="72">
        <v>30</v>
      </c>
      <c r="I97" s="73" t="str">
        <f t="shared" si="4"/>
        <v>令和6年9月30日</v>
      </c>
      <c r="J97" s="73">
        <f t="shared" si="1"/>
        <v>45565</v>
      </c>
    </row>
    <row r="98" spans="1:14" x14ac:dyDescent="0.45">
      <c r="A98" s="75" t="str">
        <f t="shared" si="2"/>
        <v/>
      </c>
      <c r="B98" s="76" t="str">
        <f t="shared" si="3"/>
        <v/>
      </c>
      <c r="C98" s="74">
        <v>10</v>
      </c>
      <c r="D98" s="78">
        <f>IF(C$88&lt;C98,0,ROUNDDOWN((E$88-SUM(D99:D$100))/C98,-3))</f>
        <v>0</v>
      </c>
      <c r="G98" s="1">
        <v>10</v>
      </c>
      <c r="H98" s="72">
        <v>31</v>
      </c>
      <c r="I98" s="73" t="str">
        <f t="shared" si="4"/>
        <v>令和6年10月31日</v>
      </c>
      <c r="J98" s="73">
        <f t="shared" si="1"/>
        <v>45596</v>
      </c>
    </row>
    <row r="99" spans="1:14" x14ac:dyDescent="0.45">
      <c r="A99" s="75" t="str">
        <f t="shared" si="2"/>
        <v/>
      </c>
      <c r="B99" s="76" t="str">
        <f t="shared" si="3"/>
        <v/>
      </c>
      <c r="C99" s="74">
        <v>11</v>
      </c>
      <c r="D99" s="78">
        <f>IF(C$88&lt;C99,0,ROUNDDOWN((E$88-SUM(D100:D$100))/C99,-3))</f>
        <v>0</v>
      </c>
      <c r="G99" s="1">
        <v>11</v>
      </c>
      <c r="H99" s="72">
        <v>30</v>
      </c>
      <c r="I99" s="73" t="str">
        <f t="shared" si="4"/>
        <v>令和6年11月30日</v>
      </c>
      <c r="J99" s="73">
        <f t="shared" si="1"/>
        <v>45628</v>
      </c>
    </row>
    <row r="100" spans="1:14" x14ac:dyDescent="0.45">
      <c r="A100" s="75" t="str">
        <f t="shared" si="2"/>
        <v/>
      </c>
      <c r="B100" s="76" t="str">
        <f t="shared" si="3"/>
        <v/>
      </c>
      <c r="C100" s="74">
        <v>12</v>
      </c>
      <c r="D100" s="78">
        <f>IF(C$88&lt;C100,0,ROUNDDOWN((E$88-SUM(D$100:D101))/C100,-3))</f>
        <v>0</v>
      </c>
      <c r="G100" s="1">
        <v>12</v>
      </c>
      <c r="H100" s="72">
        <v>26</v>
      </c>
      <c r="I100" s="73" t="str">
        <f t="shared" si="4"/>
        <v>令和6年12月26日</v>
      </c>
      <c r="J100" s="73">
        <f t="shared" si="1"/>
        <v>45652</v>
      </c>
    </row>
    <row r="101" spans="1:14" ht="18.600000000000001" thickBot="1" x14ac:dyDescent="0.5"/>
    <row r="102" spans="1:14" ht="18.600000000000001" thickBot="1" x14ac:dyDescent="0.5">
      <c r="B102" s="38" t="s">
        <v>107</v>
      </c>
      <c r="C102" s="83" t="s">
        <v>115</v>
      </c>
      <c r="D102" s="91" t="s">
        <v>107</v>
      </c>
      <c r="E102" s="92" t="s">
        <v>115</v>
      </c>
      <c r="F102" s="89" t="s">
        <v>107</v>
      </c>
      <c r="G102" s="38" t="s">
        <v>115</v>
      </c>
      <c r="H102" s="80"/>
      <c r="I102" s="14" t="s">
        <v>116</v>
      </c>
      <c r="J102" s="205">
        <v>6</v>
      </c>
      <c r="K102" s="80"/>
      <c r="L102" s="5"/>
      <c r="M102" s="80"/>
      <c r="N102" s="80"/>
    </row>
    <row r="103" spans="1:14" x14ac:dyDescent="0.45">
      <c r="B103" s="87">
        <f>作業・変換!B89</f>
        <v>45474</v>
      </c>
      <c r="C103" s="88">
        <f>作業・変換!D89</f>
        <v>0</v>
      </c>
      <c r="D103" s="93" t="str">
        <f>作業・変換!B93</f>
        <v/>
      </c>
      <c r="E103" s="94">
        <f>作業・変換!D93</f>
        <v>0</v>
      </c>
      <c r="F103" s="90" t="str">
        <f>作業・変換!B97</f>
        <v/>
      </c>
      <c r="G103" s="79">
        <f>作業・変換!D97</f>
        <v>0</v>
      </c>
      <c r="H103" s="81"/>
      <c r="I103" s="5"/>
      <c r="J103" s="82"/>
      <c r="K103" s="82"/>
      <c r="L103" s="5"/>
      <c r="M103" s="81"/>
      <c r="N103" s="81"/>
    </row>
    <row r="104" spans="1:14" x14ac:dyDescent="0.45">
      <c r="B104" s="87" t="str">
        <f>作業・変換!B90</f>
        <v/>
      </c>
      <c r="C104" s="88">
        <f>作業・変換!D90</f>
        <v>0</v>
      </c>
      <c r="D104" s="93" t="str">
        <f>作業・変換!B94</f>
        <v/>
      </c>
      <c r="E104" s="94">
        <f>作業・変換!D94</f>
        <v>0</v>
      </c>
      <c r="F104" s="90" t="str">
        <f>作業・変換!B98</f>
        <v/>
      </c>
      <c r="G104" s="79">
        <f>作業・変換!D98</f>
        <v>0</v>
      </c>
      <c r="H104" s="81"/>
      <c r="I104" s="5"/>
      <c r="J104" s="82"/>
      <c r="K104" s="82"/>
      <c r="L104" s="5"/>
      <c r="M104" s="81"/>
      <c r="N104" s="81"/>
    </row>
    <row r="105" spans="1:14" x14ac:dyDescent="0.45">
      <c r="B105" s="87" t="str">
        <f>作業・変換!B91</f>
        <v/>
      </c>
      <c r="C105" s="88">
        <f>作業・変換!D91</f>
        <v>0</v>
      </c>
      <c r="D105" s="93" t="str">
        <f>作業・変換!B95</f>
        <v/>
      </c>
      <c r="E105" s="94">
        <f>作業・変換!D95</f>
        <v>0</v>
      </c>
      <c r="F105" s="90" t="str">
        <f>作業・変換!B99</f>
        <v/>
      </c>
      <c r="G105" s="79">
        <f>作業・変換!D99</f>
        <v>0</v>
      </c>
      <c r="H105" s="81"/>
      <c r="I105" s="5"/>
      <c r="J105" s="82"/>
      <c r="K105" s="82"/>
      <c r="L105" s="5"/>
      <c r="M105" s="81"/>
      <c r="N105" s="81"/>
    </row>
    <row r="106" spans="1:14" x14ac:dyDescent="0.45">
      <c r="B106" s="87" t="str">
        <f>作業・変換!B92</f>
        <v/>
      </c>
      <c r="C106" s="88">
        <f>作業・変換!D92</f>
        <v>0</v>
      </c>
      <c r="D106" s="93" t="str">
        <f>作業・変換!B96</f>
        <v/>
      </c>
      <c r="E106" s="94">
        <f>作業・変換!D96</f>
        <v>0</v>
      </c>
      <c r="F106" s="90" t="str">
        <f>作業・変換!B100</f>
        <v/>
      </c>
      <c r="G106" s="79">
        <f>作業・変換!D100</f>
        <v>0</v>
      </c>
      <c r="H106" s="81"/>
      <c r="I106" s="5"/>
      <c r="J106" s="82"/>
      <c r="K106" s="82"/>
      <c r="L106" s="5"/>
      <c r="M106" s="81"/>
      <c r="N106" s="81"/>
    </row>
  </sheetData>
  <sheetProtection algorithmName="SHA-512" hashValue="ZyWY2e81Ki5Dl6gxwq8Ylqc5XYMz9LCDD8Zc7nXTiiNxCLoa7HsBqLVDBtwecKXKf9BGLYD4SNVZQwF5iSknQg==" saltValue="TBTyF/xVPmj460EpAkdDEw==" spinCount="100000" sheet="1" objects="1" scenarios="1"/>
  <mergeCells count="21">
    <mergeCell ref="D79:G79"/>
    <mergeCell ref="D71:G71"/>
    <mergeCell ref="D72:G72"/>
    <mergeCell ref="D73:G73"/>
    <mergeCell ref="D74:G74"/>
    <mergeCell ref="A87:B87"/>
    <mergeCell ref="A18:C18"/>
    <mergeCell ref="A1:C1"/>
    <mergeCell ref="D85:G85"/>
    <mergeCell ref="A44:B44"/>
    <mergeCell ref="A70:B70"/>
    <mergeCell ref="D80:G80"/>
    <mergeCell ref="D81:G81"/>
    <mergeCell ref="D82:G82"/>
    <mergeCell ref="D83:G83"/>
    <mergeCell ref="D84:G84"/>
    <mergeCell ref="D75:G75"/>
    <mergeCell ref="D76:G76"/>
    <mergeCell ref="D77:G77"/>
    <mergeCell ref="A37:B37"/>
    <mergeCell ref="D78:G78"/>
  </mergeCells>
  <phoneticPr fontId="3"/>
  <dataValidations count="1">
    <dataValidation type="list" imeMode="disabled" allowBlank="1" showInputMessage="1" showErrorMessage="1" errorTitle="6～3月の範囲で入力してください。" prompt="多摩市が納税通知書を発送する月（通常、加入手続きした翌月）を入力すると、期別の参考額を計算します。（年度の最初は6月の発送、4・5月は新規の発送はありません）" sqref="J102">
      <formula1>"6,7,8,9,10,11,12,1,2,3"</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この試算表の使い方</vt:lpstr>
      <vt:lpstr>基礎情報入力シート</vt:lpstr>
      <vt:lpstr>税額試算書</vt:lpstr>
      <vt:lpstr>参考資料</vt:lpstr>
      <vt:lpstr>税額計算情報</vt:lpstr>
      <vt:lpstr>作業・変換</vt:lpstr>
    </vt:vector>
  </TitlesOfParts>
  <Company>多摩市役所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ｻﾀﾞｲｼ ﾄﾓﾋｺ</dc:creator>
  <cp:lastModifiedBy>ｻﾀﾞｲｼ ﾄﾓﾋｺ</cp:lastModifiedBy>
  <cp:lastPrinted>2023-11-29T02:10:13Z</cp:lastPrinted>
  <dcterms:created xsi:type="dcterms:W3CDTF">2023-03-29T04:00:44Z</dcterms:created>
  <dcterms:modified xsi:type="dcterms:W3CDTF">2024-03-25T00:49:07Z</dcterms:modified>
</cp:coreProperties>
</file>