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616177\Downloads\"/>
    </mc:Choice>
  </mc:AlternateContent>
  <xr:revisionPtr revIDLastSave="0" documentId="8_{64BB72F4-2BF5-42F7-8806-ECED9825756D}" xr6:coauthVersionLast="47" xr6:coauthVersionMax="47" xr10:uidLastSave="{00000000-0000-0000-0000-000000000000}"/>
  <bookViews>
    <workbookView xWindow="-120" yWindow="-120" windowWidth="29040" windowHeight="15720" tabRatio="757" activeTab="1" xr2:uid="{00000000-000D-0000-FFFF-FFFF00000000}"/>
  </bookViews>
  <sheets>
    <sheet name="この試算表の使い方" sheetId="8" r:id="rId1"/>
    <sheet name="基礎情報入力シート" sheetId="1" r:id="rId2"/>
    <sheet name="税額試算書" sheetId="7" r:id="rId3"/>
    <sheet name="参考資料" sheetId="9" r:id="rId4"/>
    <sheet name="税額計算情報" sheetId="4" r:id="rId5"/>
    <sheet name="作業・変換"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5" i="3" l="1"/>
  <c r="Q15" i="3"/>
  <c r="M15" i="3"/>
  <c r="I15" i="3"/>
  <c r="E15" i="3"/>
  <c r="U14" i="3"/>
  <c r="Q14" i="3"/>
  <c r="M14" i="3"/>
  <c r="I14" i="3"/>
  <c r="E14" i="3"/>
  <c r="U12" i="3"/>
  <c r="Q12" i="3"/>
  <c r="U13" i="3"/>
  <c r="Q13" i="3"/>
  <c r="M13" i="3"/>
  <c r="I13" i="3"/>
  <c r="E13" i="3"/>
  <c r="M12" i="3"/>
  <c r="I12" i="3"/>
  <c r="T12" i="3"/>
  <c r="P12" i="3"/>
  <c r="L12" i="3"/>
  <c r="H12" i="3"/>
  <c r="E12" i="3"/>
  <c r="D12" i="3"/>
  <c r="K29" i="1" l="1"/>
  <c r="K28" i="1"/>
  <c r="I29" i="1"/>
  <c r="C48" i="3"/>
  <c r="D48" i="3"/>
  <c r="E48" i="3"/>
  <c r="F48" i="3"/>
  <c r="G48" i="3"/>
  <c r="H48" i="3"/>
  <c r="I48" i="3"/>
  <c r="J48" i="3"/>
  <c r="K48" i="3"/>
  <c r="L48" i="3"/>
  <c r="M48" i="3"/>
  <c r="N48" i="3"/>
  <c r="D29" i="1"/>
  <c r="E29" i="1"/>
  <c r="F29" i="1"/>
  <c r="G29" i="1"/>
  <c r="C29" i="1"/>
  <c r="C44" i="7" l="1"/>
  <c r="C39" i="7"/>
  <c r="C34" i="7"/>
  <c r="C29" i="7"/>
  <c r="C24" i="7"/>
  <c r="A10" i="7"/>
  <c r="D6" i="4"/>
  <c r="C6" i="4"/>
  <c r="R18" i="7" s="1"/>
  <c r="B6" i="4"/>
  <c r="T18" i="7" s="1"/>
  <c r="B5" i="4"/>
  <c r="S18" i="7" s="1"/>
  <c r="B4" i="4"/>
  <c r="T17" i="7" s="1"/>
  <c r="B3" i="4"/>
  <c r="S17" i="7" s="1"/>
  <c r="C49" i="3"/>
  <c r="N49" i="3"/>
  <c r="M49" i="3"/>
  <c r="L49" i="3"/>
  <c r="K49" i="3"/>
  <c r="J49" i="3"/>
  <c r="I49" i="3"/>
  <c r="H49" i="3"/>
  <c r="G49" i="3"/>
  <c r="F49" i="3"/>
  <c r="E49" i="3"/>
  <c r="H3" i="4"/>
  <c r="G5" i="4"/>
  <c r="G4" i="4"/>
  <c r="G3" i="4"/>
  <c r="H5" i="4" s="1"/>
  <c r="D5" i="4"/>
  <c r="D4" i="4"/>
  <c r="D3" i="4"/>
  <c r="H4" i="4" l="1"/>
  <c r="D3" i="1"/>
  <c r="D6" i="1" l="1"/>
  <c r="C94" i="3" l="1"/>
  <c r="A95" i="3" s="1"/>
  <c r="U4" i="3" l="1"/>
  <c r="Q4" i="3"/>
  <c r="M4" i="3"/>
  <c r="I4" i="3"/>
  <c r="E4" i="3"/>
  <c r="T15" i="3"/>
  <c r="P15" i="3"/>
  <c r="U5" i="3"/>
  <c r="Q5" i="3"/>
  <c r="L15" i="3"/>
  <c r="M5" i="3"/>
  <c r="H15" i="3"/>
  <c r="I5" i="3"/>
  <c r="D15" i="3"/>
  <c r="E5" i="3"/>
  <c r="U6" i="3" l="1"/>
  <c r="U7" i="3"/>
  <c r="U11" i="3"/>
  <c r="U10" i="3"/>
  <c r="U9" i="3"/>
  <c r="U8" i="3"/>
  <c r="Q7" i="3"/>
  <c r="Q6" i="3"/>
  <c r="Q11" i="3"/>
  <c r="Q10" i="3"/>
  <c r="Q9" i="3"/>
  <c r="Q8" i="3"/>
  <c r="M7" i="3"/>
  <c r="M6" i="3"/>
  <c r="M11" i="3"/>
  <c r="M9" i="3"/>
  <c r="M8" i="3"/>
  <c r="M10" i="3"/>
  <c r="I9" i="3"/>
  <c r="I8" i="3"/>
  <c r="I7" i="3"/>
  <c r="I6" i="3"/>
  <c r="I11" i="3"/>
  <c r="I10" i="3"/>
  <c r="E11" i="3"/>
  <c r="E8" i="3"/>
  <c r="E7" i="3"/>
  <c r="E6" i="3"/>
  <c r="E10" i="3"/>
  <c r="E9" i="3"/>
  <c r="N47" i="3"/>
  <c r="M47" i="3"/>
  <c r="L47" i="3"/>
  <c r="K47" i="3"/>
  <c r="J47" i="3"/>
  <c r="I47" i="3"/>
  <c r="H47" i="3"/>
  <c r="G47" i="3"/>
  <c r="F47" i="3"/>
  <c r="E47" i="3"/>
  <c r="D47" i="3"/>
  <c r="C47" i="3"/>
  <c r="I28" i="1" l="1"/>
  <c r="H1" i="1"/>
  <c r="C42" i="7"/>
  <c r="C43" i="7"/>
  <c r="C41" i="7"/>
  <c r="C37" i="7"/>
  <c r="C38" i="7"/>
  <c r="C36" i="7"/>
  <c r="C32" i="7"/>
  <c r="C33" i="7"/>
  <c r="C31" i="7"/>
  <c r="C27" i="7"/>
  <c r="C28" i="7"/>
  <c r="C26" i="7"/>
  <c r="C22" i="7"/>
  <c r="C23" i="7"/>
  <c r="C21" i="7"/>
  <c r="A8" i="7"/>
  <c r="A6" i="7"/>
  <c r="A4" i="7"/>
  <c r="B20" i="3"/>
  <c r="D4" i="3"/>
  <c r="D5" i="3" s="1"/>
  <c r="H4" i="3"/>
  <c r="H5" i="3" s="1"/>
  <c r="L4" i="3"/>
  <c r="L5" i="3" s="1"/>
  <c r="P4" i="3"/>
  <c r="P5" i="3" s="1"/>
  <c r="T4" i="3"/>
  <c r="T5" i="3" s="1"/>
  <c r="D10" i="3"/>
  <c r="H10" i="3"/>
  <c r="L10" i="3"/>
  <c r="P10" i="3"/>
  <c r="T10" i="3"/>
  <c r="D11" i="3"/>
  <c r="H11" i="3"/>
  <c r="L11" i="3"/>
  <c r="P11" i="3"/>
  <c r="T11" i="3"/>
  <c r="D13" i="3"/>
  <c r="H13" i="3"/>
  <c r="D10" i="1" s="1"/>
  <c r="L13" i="3"/>
  <c r="P13" i="3"/>
  <c r="T13" i="3"/>
  <c r="G10" i="1" s="1"/>
  <c r="D14" i="3"/>
  <c r="C10" i="1" s="1"/>
  <c r="H14" i="3"/>
  <c r="L14" i="3"/>
  <c r="P14" i="3"/>
  <c r="T14" i="3"/>
  <c r="D49" i="3"/>
  <c r="C50" i="3"/>
  <c r="D50" i="3"/>
  <c r="E50" i="3"/>
  <c r="F50" i="3"/>
  <c r="G50" i="3"/>
  <c r="H50" i="3"/>
  <c r="I50" i="3"/>
  <c r="J50" i="3"/>
  <c r="K50" i="3"/>
  <c r="L50" i="3"/>
  <c r="M50" i="3"/>
  <c r="N50" i="3"/>
  <c r="C51" i="3"/>
  <c r="D51" i="3"/>
  <c r="E51" i="3"/>
  <c r="F51" i="3"/>
  <c r="G51" i="3"/>
  <c r="H51" i="3"/>
  <c r="I51" i="3"/>
  <c r="J51" i="3"/>
  <c r="K51" i="3"/>
  <c r="L51" i="3"/>
  <c r="M51" i="3"/>
  <c r="N51" i="3"/>
  <c r="A94" i="3"/>
  <c r="I95" i="3" s="1"/>
  <c r="J95" i="3" s="1"/>
  <c r="D106" i="3"/>
  <c r="A106" i="3" s="1"/>
  <c r="F10" i="1" l="1"/>
  <c r="E10" i="1"/>
  <c r="D26" i="7"/>
  <c r="D29" i="7" s="1"/>
  <c r="D21" i="7"/>
  <c r="D24" i="7" s="1"/>
  <c r="E26" i="7"/>
  <c r="E29" i="7" s="1"/>
  <c r="E21" i="7"/>
  <c r="E24" i="7" s="1"/>
  <c r="G26" i="7"/>
  <c r="G29" i="7" s="1"/>
  <c r="G21" i="7"/>
  <c r="G24" i="7" s="1"/>
  <c r="H26" i="7"/>
  <c r="H29" i="7" s="1"/>
  <c r="H21" i="7"/>
  <c r="H24" i="7" s="1"/>
  <c r="F26" i="7"/>
  <c r="F29" i="7" s="1"/>
  <c r="F21" i="7"/>
  <c r="F24" i="7" s="1"/>
  <c r="J21" i="7"/>
  <c r="J24" i="7" s="1"/>
  <c r="J26" i="7"/>
  <c r="J29" i="7" s="1"/>
  <c r="I21" i="7"/>
  <c r="I22" i="7" s="1"/>
  <c r="I26" i="7"/>
  <c r="I29" i="7" s="1"/>
  <c r="O26" i="7"/>
  <c r="O29" i="7" s="1"/>
  <c r="O21" i="7"/>
  <c r="O24" i="7" s="1"/>
  <c r="M21" i="7"/>
  <c r="M24" i="7" s="1"/>
  <c r="M26" i="7"/>
  <c r="M29" i="7" s="1"/>
  <c r="K26" i="7"/>
  <c r="K29" i="7" s="1"/>
  <c r="K21" i="7"/>
  <c r="K24" i="7" s="1"/>
  <c r="N21" i="7"/>
  <c r="N24" i="7" s="1"/>
  <c r="N26" i="7"/>
  <c r="N29" i="7" s="1"/>
  <c r="L21" i="7"/>
  <c r="L24" i="7" s="1"/>
  <c r="L26" i="7"/>
  <c r="L29" i="7" s="1"/>
  <c r="D30" i="1"/>
  <c r="G30" i="1"/>
  <c r="C30" i="1"/>
  <c r="F30" i="1"/>
  <c r="E30" i="1"/>
  <c r="B29" i="3"/>
  <c r="L41" i="7"/>
  <c r="L44" i="7" s="1"/>
  <c r="L36" i="7"/>
  <c r="L39" i="7" s="1"/>
  <c r="L31" i="7"/>
  <c r="L34" i="7" s="1"/>
  <c r="H41" i="7"/>
  <c r="H44" i="7" s="1"/>
  <c r="H36" i="7"/>
  <c r="H39" i="7" s="1"/>
  <c r="H31" i="7"/>
  <c r="H34" i="7" s="1"/>
  <c r="D41" i="7"/>
  <c r="D44" i="7" s="1"/>
  <c r="D36" i="7"/>
  <c r="D39" i="7" s="1"/>
  <c r="D31" i="7"/>
  <c r="D34" i="7" s="1"/>
  <c r="I41" i="7"/>
  <c r="I44" i="7" s="1"/>
  <c r="I36" i="7"/>
  <c r="I39" i="7" s="1"/>
  <c r="I31" i="7"/>
  <c r="I34" i="7" s="1"/>
  <c r="O41" i="7"/>
  <c r="O44" i="7" s="1"/>
  <c r="O36" i="7"/>
  <c r="O39" i="7" s="1"/>
  <c r="O31" i="7"/>
  <c r="O34" i="7" s="1"/>
  <c r="K41" i="7"/>
  <c r="K44" i="7" s="1"/>
  <c r="K36" i="7"/>
  <c r="K39" i="7" s="1"/>
  <c r="K31" i="7"/>
  <c r="K34" i="7" s="1"/>
  <c r="G41" i="7"/>
  <c r="G44" i="7" s="1"/>
  <c r="G36" i="7"/>
  <c r="G39" i="7" s="1"/>
  <c r="G31" i="7"/>
  <c r="G34" i="7" s="1"/>
  <c r="N41" i="7"/>
  <c r="N44" i="7" s="1"/>
  <c r="N36" i="7"/>
  <c r="N39" i="7" s="1"/>
  <c r="N31" i="7"/>
  <c r="N34" i="7" s="1"/>
  <c r="J41" i="7"/>
  <c r="J44" i="7" s="1"/>
  <c r="J36" i="7"/>
  <c r="J39" i="7" s="1"/>
  <c r="J31" i="7"/>
  <c r="J34" i="7" s="1"/>
  <c r="F41" i="7"/>
  <c r="F44" i="7" s="1"/>
  <c r="F36" i="7"/>
  <c r="F39" i="7" s="1"/>
  <c r="F31" i="7"/>
  <c r="F34" i="7" s="1"/>
  <c r="M41" i="7"/>
  <c r="M44" i="7" s="1"/>
  <c r="M36" i="7"/>
  <c r="M39" i="7" s="1"/>
  <c r="M31" i="7"/>
  <c r="M34" i="7" s="1"/>
  <c r="E41" i="7"/>
  <c r="E44" i="7" s="1"/>
  <c r="E36" i="7"/>
  <c r="E39" i="7" s="1"/>
  <c r="E31" i="7"/>
  <c r="E34" i="7" s="1"/>
  <c r="I105" i="3"/>
  <c r="J105" i="3" s="1"/>
  <c r="I101" i="3"/>
  <c r="J101" i="3" s="1"/>
  <c r="I100" i="3"/>
  <c r="J100" i="3" s="1"/>
  <c r="I104" i="3"/>
  <c r="J104" i="3" s="1"/>
  <c r="I97" i="3"/>
  <c r="J97" i="3" s="1"/>
  <c r="B106" i="3"/>
  <c r="F112" i="3" s="1"/>
  <c r="G112" i="3"/>
  <c r="I103" i="3"/>
  <c r="J103" i="3" s="1"/>
  <c r="I99" i="3"/>
  <c r="J99" i="3" s="1"/>
  <c r="H96" i="3"/>
  <c r="I96" i="3" s="1"/>
  <c r="J96" i="3" s="1"/>
  <c r="D105" i="3"/>
  <c r="I106" i="3"/>
  <c r="J106" i="3" s="1"/>
  <c r="I102" i="3"/>
  <c r="J102" i="3" s="1"/>
  <c r="I98" i="3"/>
  <c r="J98" i="3" s="1"/>
  <c r="A1" i="7"/>
  <c r="A14" i="7"/>
  <c r="C40" i="7"/>
  <c r="C35" i="7"/>
  <c r="C30" i="7"/>
  <c r="C25" i="7"/>
  <c r="C20" i="7"/>
  <c r="F40" i="7"/>
  <c r="F35" i="7"/>
  <c r="F30" i="7"/>
  <c r="F25" i="7"/>
  <c r="F20" i="7"/>
  <c r="O27" i="7" l="1"/>
  <c r="I24" i="7"/>
  <c r="P24" i="7" s="1"/>
  <c r="J27" i="7"/>
  <c r="I42" i="7"/>
  <c r="M42" i="7"/>
  <c r="F42" i="7"/>
  <c r="N42" i="7"/>
  <c r="K42" i="7"/>
  <c r="O42" i="7"/>
  <c r="J42" i="7"/>
  <c r="D42" i="7"/>
  <c r="P44" i="7"/>
  <c r="L42" i="7"/>
  <c r="G42" i="7"/>
  <c r="E42" i="7"/>
  <c r="H42" i="7"/>
  <c r="L37" i="7"/>
  <c r="F37" i="7"/>
  <c r="J37" i="7"/>
  <c r="D37" i="7"/>
  <c r="P39" i="7"/>
  <c r="N37" i="7"/>
  <c r="M37" i="7"/>
  <c r="I37" i="7"/>
  <c r="G37" i="7"/>
  <c r="O37" i="7"/>
  <c r="E37" i="7"/>
  <c r="H37" i="7"/>
  <c r="K37" i="7"/>
  <c r="J32" i="7"/>
  <c r="D32" i="7"/>
  <c r="G32" i="7"/>
  <c r="O32" i="7"/>
  <c r="F32" i="7"/>
  <c r="H32" i="7"/>
  <c r="E32" i="7"/>
  <c r="K32" i="7"/>
  <c r="I32" i="7"/>
  <c r="N32" i="7"/>
  <c r="M32" i="7"/>
  <c r="L32" i="7"/>
  <c r="I27" i="7"/>
  <c r="G27" i="7"/>
  <c r="K27" i="7"/>
  <c r="M27" i="7"/>
  <c r="N27" i="7"/>
  <c r="H27" i="7"/>
  <c r="D27" i="7"/>
  <c r="P29" i="7"/>
  <c r="F27" i="7"/>
  <c r="L27" i="7"/>
  <c r="E27" i="7"/>
  <c r="J22" i="7"/>
  <c r="G22" i="7"/>
  <c r="F22" i="7"/>
  <c r="M22" i="7"/>
  <c r="O22" i="7"/>
  <c r="D22" i="7"/>
  <c r="N22" i="7"/>
  <c r="L22" i="7"/>
  <c r="K22" i="7"/>
  <c r="H22" i="7"/>
  <c r="E22" i="7"/>
  <c r="B12" i="7"/>
  <c r="B95" i="3"/>
  <c r="B109" i="3" s="1"/>
  <c r="A105" i="3"/>
  <c r="B105" i="3"/>
  <c r="F111" i="3" s="1"/>
  <c r="G111" i="3"/>
  <c r="P34" i="7" l="1"/>
  <c r="P41" i="7"/>
  <c r="O43" i="7"/>
  <c r="N28" i="7"/>
  <c r="M33" i="7"/>
  <c r="L33" i="7"/>
  <c r="K28" i="7"/>
  <c r="J23" i="7"/>
  <c r="H43" i="7"/>
  <c r="G38" i="7"/>
  <c r="F33" i="7"/>
  <c r="E33" i="7"/>
  <c r="D28" i="7"/>
  <c r="I43" i="7"/>
  <c r="G23" i="7" l="1"/>
  <c r="F38" i="7"/>
  <c r="K43" i="7"/>
  <c r="F23" i="7"/>
  <c r="K38" i="7"/>
  <c r="E28" i="7"/>
  <c r="F28" i="7"/>
  <c r="N33" i="7"/>
  <c r="O23" i="7"/>
  <c r="F43" i="7"/>
  <c r="G33" i="7"/>
  <c r="I28" i="7"/>
  <c r="O38" i="7"/>
  <c r="K23" i="7"/>
  <c r="L38" i="7"/>
  <c r="G43" i="7"/>
  <c r="L43" i="7"/>
  <c r="K33" i="7"/>
  <c r="D33" i="7"/>
  <c r="M38" i="7"/>
  <c r="J43" i="7"/>
  <c r="N38" i="7"/>
  <c r="M23" i="7"/>
  <c r="I23" i="7"/>
  <c r="E23" i="7"/>
  <c r="E43" i="7"/>
  <c r="N43" i="7"/>
  <c r="H33" i="7"/>
  <c r="L28" i="7"/>
  <c r="J33" i="7"/>
  <c r="O33" i="7"/>
  <c r="E38" i="7"/>
  <c r="I33" i="7"/>
  <c r="M28" i="7"/>
  <c r="J38" i="7"/>
  <c r="J28" i="7"/>
  <c r="G28" i="7"/>
  <c r="N23" i="7"/>
  <c r="D38" i="7"/>
  <c r="H28" i="7"/>
  <c r="D43" i="7"/>
  <c r="D23" i="7"/>
  <c r="L23" i="7"/>
  <c r="H23" i="7"/>
  <c r="M43" i="7"/>
  <c r="H38" i="7"/>
  <c r="I38" i="7"/>
  <c r="O28" i="7"/>
  <c r="P36" i="7"/>
  <c r="P31" i="7"/>
  <c r="P26" i="7"/>
  <c r="P28" i="7" l="1"/>
  <c r="P38" i="7"/>
  <c r="P33" i="7"/>
  <c r="P42" i="7"/>
  <c r="P43" i="7"/>
  <c r="P37" i="7"/>
  <c r="P32" i="7"/>
  <c r="P27" i="7"/>
  <c r="P21" i="7" l="1"/>
  <c r="D28" i="1"/>
  <c r="S25" i="7" s="1"/>
  <c r="E28" i="1"/>
  <c r="S30" i="7" s="1"/>
  <c r="F28" i="1"/>
  <c r="S35" i="7" s="1"/>
  <c r="G28" i="1"/>
  <c r="S40" i="7" s="1"/>
  <c r="C28" i="1"/>
  <c r="S20" i="7" s="1"/>
  <c r="P22" i="7" l="1"/>
  <c r="A1" i="4" l="1"/>
  <c r="C5" i="4" l="1"/>
  <c r="Q18" i="7" s="1"/>
  <c r="C4" i="4"/>
  <c r="R17" i="7" s="1"/>
  <c r="C3" i="4"/>
  <c r="Q17" i="7" s="1"/>
  <c r="G6" i="1" l="1"/>
  <c r="F6" i="1"/>
  <c r="E6" i="1"/>
  <c r="A25" i="7" l="1"/>
  <c r="G3" i="7"/>
  <c r="A30" i="7"/>
  <c r="J3" i="7"/>
  <c r="A35" i="7"/>
  <c r="M3" i="7"/>
  <c r="A40" i="7"/>
  <c r="P3" i="7"/>
  <c r="C12" i="1" l="1"/>
  <c r="C3" i="1"/>
  <c r="E27" i="3" l="1"/>
  <c r="E26" i="3"/>
  <c r="E22" i="3"/>
  <c r="E23" i="3" s="1"/>
  <c r="E25" i="3"/>
  <c r="E36" i="3"/>
  <c r="E34" i="3"/>
  <c r="E31" i="3"/>
  <c r="E32" i="3" s="1"/>
  <c r="E24" i="3"/>
  <c r="E35" i="3"/>
  <c r="E33" i="3"/>
  <c r="D31" i="3"/>
  <c r="D22" i="3"/>
  <c r="D24" i="3"/>
  <c r="D35" i="3"/>
  <c r="D26" i="3"/>
  <c r="D33" i="3"/>
  <c r="D34" i="3"/>
  <c r="D25" i="3"/>
  <c r="D36" i="3"/>
  <c r="D27" i="3"/>
  <c r="D23" i="3" l="1"/>
  <c r="C14" i="1"/>
  <c r="D32" i="3"/>
  <c r="C6" i="1"/>
  <c r="C4" i="1"/>
  <c r="C5" i="1" s="1"/>
  <c r="G12" i="1"/>
  <c r="F12" i="1"/>
  <c r="E12" i="1"/>
  <c r="D12" i="1"/>
  <c r="I26" i="3" l="1"/>
  <c r="I34" i="3"/>
  <c r="I33" i="3"/>
  <c r="I27" i="3"/>
  <c r="I22" i="3"/>
  <c r="I23" i="3" s="1"/>
  <c r="I25" i="3"/>
  <c r="I36" i="3"/>
  <c r="I24" i="3"/>
  <c r="I35" i="3"/>
  <c r="I31" i="3"/>
  <c r="I32" i="3" s="1"/>
  <c r="M22" i="3"/>
  <c r="M23" i="3" s="1"/>
  <c r="M26" i="3"/>
  <c r="M31" i="3"/>
  <c r="M32" i="3" s="1"/>
  <c r="M36" i="3"/>
  <c r="M34" i="3"/>
  <c r="M27" i="3"/>
  <c r="M35" i="3"/>
  <c r="M24" i="3"/>
  <c r="M25" i="3"/>
  <c r="M33" i="3"/>
  <c r="Q36" i="3"/>
  <c r="Q33" i="3"/>
  <c r="Q25" i="3"/>
  <c r="Q31" i="3"/>
  <c r="Q32" i="3" s="1"/>
  <c r="Q22" i="3"/>
  <c r="Q23" i="3" s="1"/>
  <c r="Q35" i="3"/>
  <c r="Q27" i="3"/>
  <c r="Q34" i="3"/>
  <c r="Q26" i="3"/>
  <c r="Q24" i="3"/>
  <c r="U36" i="3"/>
  <c r="U22" i="3"/>
  <c r="U23" i="3" s="1"/>
  <c r="U35" i="3"/>
  <c r="U34" i="3"/>
  <c r="U33" i="3"/>
  <c r="U27" i="3"/>
  <c r="U26" i="3"/>
  <c r="U31" i="3"/>
  <c r="U32" i="3" s="1"/>
  <c r="U25" i="3"/>
  <c r="U24" i="3"/>
  <c r="C27" i="1"/>
  <c r="E4" i="1"/>
  <c r="E5" i="1" s="1"/>
  <c r="G4" i="1"/>
  <c r="G5" i="1" s="1"/>
  <c r="F4" i="1"/>
  <c r="F5" i="1" s="1"/>
  <c r="D4" i="1"/>
  <c r="D5" i="1" s="1"/>
  <c r="P31" i="3"/>
  <c r="P32" i="3" s="1"/>
  <c r="P22" i="3"/>
  <c r="T27" i="3"/>
  <c r="T31" i="3"/>
  <c r="T32" i="3" s="1"/>
  <c r="T22" i="3"/>
  <c r="H31" i="3"/>
  <c r="H32" i="3" s="1"/>
  <c r="H22" i="3"/>
  <c r="L22" i="3"/>
  <c r="L31" i="3"/>
  <c r="L32" i="3" s="1"/>
  <c r="P25" i="3"/>
  <c r="P36" i="3"/>
  <c r="P27" i="3"/>
  <c r="P34" i="3"/>
  <c r="P35" i="3"/>
  <c r="P26" i="3"/>
  <c r="P33" i="3"/>
  <c r="P24" i="3"/>
  <c r="T24" i="3"/>
  <c r="T35" i="3"/>
  <c r="T33" i="3"/>
  <c r="T25" i="3"/>
  <c r="T36" i="3"/>
  <c r="T26" i="3"/>
  <c r="T34" i="3"/>
  <c r="H27" i="3"/>
  <c r="H34" i="3"/>
  <c r="H26" i="3"/>
  <c r="H33" i="3"/>
  <c r="H24" i="3"/>
  <c r="H35" i="3"/>
  <c r="H25" i="3"/>
  <c r="H36" i="3"/>
  <c r="L26" i="3"/>
  <c r="L33" i="3"/>
  <c r="L24" i="3"/>
  <c r="L35" i="3"/>
  <c r="L27" i="3"/>
  <c r="L34" i="3"/>
  <c r="L25" i="3"/>
  <c r="L36" i="3"/>
  <c r="A20" i="7"/>
  <c r="D3" i="7"/>
  <c r="F14" i="1" l="1"/>
  <c r="D14" i="1"/>
  <c r="E14" i="1"/>
  <c r="G14" i="1"/>
  <c r="B20" i="7"/>
  <c r="L23" i="3"/>
  <c r="P23" i="3"/>
  <c r="T23" i="3"/>
  <c r="H23" i="3"/>
  <c r="G25" i="1"/>
  <c r="Q20" i="7"/>
  <c r="C19" i="1"/>
  <c r="B25" i="7"/>
  <c r="D27" i="1"/>
  <c r="B35" i="7"/>
  <c r="F27" i="1"/>
  <c r="P23" i="7"/>
  <c r="F25" i="1"/>
  <c r="B40" i="7" l="1"/>
  <c r="E25" i="1"/>
  <c r="G27" i="1"/>
  <c r="Q40" i="7" s="1"/>
  <c r="E27" i="1"/>
  <c r="B30" i="7"/>
  <c r="Q35" i="7"/>
  <c r="F19" i="1"/>
  <c r="Q25" i="7"/>
  <c r="D19" i="1"/>
  <c r="G19" i="1" l="1"/>
  <c r="Q30" i="7"/>
  <c r="E19" i="1"/>
  <c r="E16" i="1"/>
  <c r="E21" i="1" s="1"/>
  <c r="G16" i="1"/>
  <c r="C16" i="1"/>
  <c r="D16" i="1"/>
  <c r="F16" i="1"/>
  <c r="D18" i="1" l="1"/>
  <c r="D24" i="1" s="1"/>
  <c r="G18" i="1"/>
  <c r="G24" i="1" s="1"/>
  <c r="G21" i="1"/>
  <c r="F18" i="1"/>
  <c r="F24" i="1" s="1"/>
  <c r="F21" i="1"/>
  <c r="C18" i="1"/>
  <c r="C24" i="1" s="1"/>
  <c r="E20" i="1"/>
  <c r="E18" i="1"/>
  <c r="E24" i="1" s="1"/>
  <c r="G20" i="1"/>
  <c r="G26" i="1"/>
  <c r="F20" i="1"/>
  <c r="F26" i="1"/>
  <c r="D20" i="1"/>
  <c r="D25" i="1"/>
  <c r="D21" i="1" s="1"/>
  <c r="C20" i="1"/>
  <c r="C25" i="1"/>
  <c r="C21" i="1" s="1"/>
  <c r="E26" i="1"/>
  <c r="D26" i="1"/>
  <c r="C26" i="1"/>
  <c r="E23" i="1" l="1"/>
  <c r="E31" i="1" s="1"/>
  <c r="F23" i="1"/>
  <c r="F31" i="1" s="1"/>
  <c r="G23" i="1"/>
  <c r="G31" i="1" s="1"/>
  <c r="C23" i="1"/>
  <c r="C31" i="1" s="1"/>
  <c r="D23" i="1"/>
  <c r="D31" i="1" s="1"/>
  <c r="J23" i="1"/>
  <c r="J22" i="1"/>
  <c r="J24" i="1"/>
  <c r="D22" i="1"/>
  <c r="E22" i="1"/>
  <c r="G22" i="1"/>
  <c r="F22" i="1"/>
  <c r="C22" i="1"/>
  <c r="I20" i="1" l="1"/>
  <c r="K26" i="1" s="1"/>
  <c r="C32" i="1"/>
  <c r="K20" i="7" s="1"/>
  <c r="D32" i="1"/>
  <c r="K25" i="7" s="1"/>
  <c r="E32" i="1"/>
  <c r="K30" i="7" s="1"/>
  <c r="G32" i="1"/>
  <c r="K40" i="7" s="1"/>
  <c r="F32" i="1"/>
  <c r="K35" i="7" s="1"/>
  <c r="S22" i="7" l="1"/>
  <c r="D7" i="7" s="1"/>
  <c r="S23" i="7"/>
  <c r="D9" i="7" s="1"/>
  <c r="S24" i="7"/>
  <c r="D11" i="7" s="1"/>
  <c r="Q38" i="7"/>
  <c r="Q37" i="7"/>
  <c r="Q36" i="7"/>
  <c r="Q39" i="7"/>
  <c r="M10" i="7" s="1"/>
  <c r="Q44" i="7"/>
  <c r="P10" i="7" s="1"/>
  <c r="Q43" i="7"/>
  <c r="Q42" i="7"/>
  <c r="Q41" i="7"/>
  <c r="Q33" i="7"/>
  <c r="Q34" i="7"/>
  <c r="J10" i="7" s="1"/>
  <c r="Q31" i="7"/>
  <c r="Q32" i="7"/>
  <c r="Q29" i="7"/>
  <c r="G10" i="7" s="1"/>
  <c r="Q26" i="7"/>
  <c r="Q27" i="7"/>
  <c r="Q28" i="7"/>
  <c r="Q24" i="7"/>
  <c r="D10" i="7" s="1"/>
  <c r="Q21" i="7"/>
  <c r="Q22" i="7"/>
  <c r="Q23" i="7"/>
  <c r="S19" i="7"/>
  <c r="S34" i="7"/>
  <c r="J11" i="7" s="1"/>
  <c r="S43" i="7"/>
  <c r="P9" i="7" s="1"/>
  <c r="S32" i="7"/>
  <c r="J7" i="7" s="1"/>
  <c r="S31" i="7"/>
  <c r="S38" i="7"/>
  <c r="M9" i="7" s="1"/>
  <c r="S37" i="7"/>
  <c r="M7" i="7" s="1"/>
  <c r="S44" i="7"/>
  <c r="P11" i="7" s="1"/>
  <c r="S33" i="7"/>
  <c r="J9" i="7" s="1"/>
  <c r="S42" i="7"/>
  <c r="P7" i="7" s="1"/>
  <c r="S41" i="7"/>
  <c r="S39" i="7"/>
  <c r="M11" i="7" s="1"/>
  <c r="S36" i="7"/>
  <c r="S29" i="7"/>
  <c r="G11" i="7" s="1"/>
  <c r="S26" i="7"/>
  <c r="S27" i="7"/>
  <c r="G7" i="7" s="1"/>
  <c r="S28" i="7"/>
  <c r="G9" i="7" s="1"/>
  <c r="S21" i="7"/>
  <c r="D5" i="7" s="1"/>
  <c r="U34" i="7" l="1"/>
  <c r="U39" i="7"/>
  <c r="U29" i="7"/>
  <c r="U44" i="7"/>
  <c r="U24" i="7"/>
  <c r="P5" i="7"/>
  <c r="M5" i="7"/>
  <c r="J5" i="7"/>
  <c r="G5" i="7"/>
  <c r="Q10" i="7"/>
  <c r="G8" i="7"/>
  <c r="D4" i="7"/>
  <c r="M8" i="7"/>
  <c r="P8" i="7"/>
  <c r="D8" i="7"/>
  <c r="M6" i="7"/>
  <c r="J6" i="7"/>
  <c r="P4" i="7"/>
  <c r="M4" i="7"/>
  <c r="J8" i="7"/>
  <c r="G4" i="7"/>
  <c r="D6" i="7"/>
  <c r="G6" i="7"/>
  <c r="J4" i="7"/>
  <c r="P6" i="7"/>
  <c r="U23" i="7"/>
  <c r="U22" i="7"/>
  <c r="U21" i="7"/>
  <c r="U41" i="7"/>
  <c r="U28" i="7"/>
  <c r="U33" i="7"/>
  <c r="U38" i="7"/>
  <c r="U42" i="7"/>
  <c r="U36" i="7"/>
  <c r="U31" i="7"/>
  <c r="U26" i="7"/>
  <c r="U43" i="7"/>
  <c r="U32" i="7"/>
  <c r="U37" i="7"/>
  <c r="U27" i="7"/>
  <c r="U20" i="7" l="1"/>
  <c r="U10" i="7"/>
  <c r="S10" i="7"/>
  <c r="U35" i="7"/>
  <c r="U40" i="7"/>
  <c r="U25" i="7"/>
  <c r="U30" i="7"/>
  <c r="Q6" i="7"/>
  <c r="Q4" i="7"/>
  <c r="Q8" i="7"/>
  <c r="S8" i="7" l="1"/>
  <c r="U8" i="7"/>
  <c r="S4" i="7"/>
  <c r="U4" i="7"/>
  <c r="S6" i="7"/>
  <c r="U6" i="7"/>
  <c r="S12" i="7" l="1"/>
  <c r="E94" i="3" s="1"/>
  <c r="D104" i="3" s="1"/>
  <c r="G110" i="3" l="1"/>
  <c r="D103" i="3"/>
  <c r="G109" i="3" l="1"/>
  <c r="D102" i="3"/>
  <c r="E112" i="3" l="1"/>
  <c r="D101" i="3"/>
  <c r="E111" i="3" l="1"/>
  <c r="D100" i="3"/>
  <c r="E110" i="3" l="1"/>
  <c r="D99" i="3"/>
  <c r="E109" i="3" l="1"/>
  <c r="D98" i="3"/>
  <c r="C112" i="3" l="1"/>
  <c r="D97" i="3"/>
  <c r="C111" i="3" l="1"/>
  <c r="D96" i="3"/>
  <c r="A96" i="3" l="1"/>
  <c r="A97" i="3" s="1"/>
  <c r="C110" i="3"/>
  <c r="D95" i="3"/>
  <c r="C109" i="3" s="1"/>
  <c r="B96" i="3" l="1"/>
  <c r="B110" i="3" s="1"/>
  <c r="A98" i="3"/>
  <c r="B97" i="3"/>
  <c r="B111" i="3" s="1"/>
  <c r="A99" i="3" l="1"/>
  <c r="B98" i="3"/>
  <c r="B112" i="3" s="1"/>
  <c r="A100" i="3" l="1"/>
  <c r="B99" i="3"/>
  <c r="D109" i="3" s="1"/>
  <c r="A101" i="3" l="1"/>
  <c r="B100" i="3"/>
  <c r="D110" i="3" s="1"/>
  <c r="A102" i="3" l="1"/>
  <c r="B101" i="3"/>
  <c r="D111" i="3" s="1"/>
  <c r="A103" i="3" l="1"/>
  <c r="B102" i="3"/>
  <c r="D112" i="3" s="1"/>
  <c r="A104" i="3" l="1"/>
  <c r="B104" i="3" s="1"/>
  <c r="F110" i="3" s="1"/>
  <c r="B103" i="3"/>
  <c r="F109" i="3" s="1"/>
</calcChain>
</file>

<file path=xl/sharedStrings.xml><?xml version="1.0" encoding="utf-8"?>
<sst xmlns="http://schemas.openxmlformats.org/spreadsheetml/2006/main" count="280" uniqueCount="206">
  <si>
    <t>年度</t>
    <rPh sb="0" eb="2">
      <t>ネンド</t>
    </rPh>
    <phoneticPr fontId="4"/>
  </si>
  <si>
    <t>加入人員</t>
    <rPh sb="0" eb="2">
      <t>カニュウ</t>
    </rPh>
    <rPh sb="2" eb="4">
      <t>ジンイン</t>
    </rPh>
    <phoneticPr fontId="4"/>
  </si>
  <si>
    <t>生年月日</t>
    <rPh sb="0" eb="2">
      <t>セイネン</t>
    </rPh>
    <rPh sb="2" eb="4">
      <t>ガッピ</t>
    </rPh>
    <phoneticPr fontId="4"/>
  </si>
  <si>
    <t>円</t>
    <rPh sb="0" eb="1">
      <t>エン</t>
    </rPh>
    <phoneticPr fontId="4"/>
  </si>
  <si>
    <t>７割</t>
    <rPh sb="1" eb="2">
      <t>ワリ</t>
    </rPh>
    <phoneticPr fontId="4"/>
  </si>
  <si>
    <t>円以下</t>
    <rPh sb="0" eb="1">
      <t>エン</t>
    </rPh>
    <rPh sb="1" eb="3">
      <t>イカ</t>
    </rPh>
    <phoneticPr fontId="4"/>
  </si>
  <si>
    <t>５割</t>
    <rPh sb="1" eb="2">
      <t>ワリ</t>
    </rPh>
    <phoneticPr fontId="4"/>
  </si>
  <si>
    <t>２割</t>
    <rPh sb="1" eb="2">
      <t>ワリ</t>
    </rPh>
    <phoneticPr fontId="4"/>
  </si>
  <si>
    <t>所得割税率</t>
    <rPh sb="0" eb="2">
      <t>ショトク</t>
    </rPh>
    <rPh sb="2" eb="3">
      <t>ワリ</t>
    </rPh>
    <rPh sb="3" eb="5">
      <t>ゼイリツ</t>
    </rPh>
    <phoneticPr fontId="4"/>
  </si>
  <si>
    <t>医療分</t>
    <rPh sb="0" eb="2">
      <t>イリョウ</t>
    </rPh>
    <rPh sb="2" eb="3">
      <t>ブン</t>
    </rPh>
    <phoneticPr fontId="4"/>
  </si>
  <si>
    <t>7割軽減</t>
    <rPh sb="1" eb="2">
      <t>ワリ</t>
    </rPh>
    <rPh sb="2" eb="4">
      <t>ケイゲン</t>
    </rPh>
    <phoneticPr fontId="4"/>
  </si>
  <si>
    <t>5割軽減</t>
    <rPh sb="1" eb="2">
      <t>ワリ</t>
    </rPh>
    <rPh sb="2" eb="4">
      <t>ケイゲン</t>
    </rPh>
    <phoneticPr fontId="4"/>
  </si>
  <si>
    <t>介護分</t>
    <rPh sb="0" eb="2">
      <t>カイゴ</t>
    </rPh>
    <rPh sb="2" eb="3">
      <t>ブン</t>
    </rPh>
    <phoneticPr fontId="4"/>
  </si>
  <si>
    <t>2割軽減</t>
    <rPh sb="1" eb="2">
      <t>ワリ</t>
    </rPh>
    <rPh sb="2" eb="4">
      <t>ケイゲン</t>
    </rPh>
    <phoneticPr fontId="4"/>
  </si>
  <si>
    <t>旧被扶養者減免（社保→後期による65歳以上被扶養者の国保加入）については対応しておりません。</t>
    <rPh sb="0" eb="1">
      <t>キュウ</t>
    </rPh>
    <rPh sb="1" eb="5">
      <t>ヒフヨウシャ</t>
    </rPh>
    <rPh sb="5" eb="7">
      <t>ゲンメン</t>
    </rPh>
    <rPh sb="8" eb="9">
      <t>シャ</t>
    </rPh>
    <rPh sb="11" eb="13">
      <t>コウキ</t>
    </rPh>
    <rPh sb="18" eb="21">
      <t>サイイジョウ</t>
    </rPh>
    <rPh sb="21" eb="25">
      <t>ヒフヨウシャ</t>
    </rPh>
    <rPh sb="26" eb="28">
      <t>コクホ</t>
    </rPh>
    <rPh sb="28" eb="30">
      <t>カニュウ</t>
    </rPh>
    <rPh sb="36" eb="38">
      <t>タイオウ</t>
    </rPh>
    <phoneticPr fontId="4"/>
  </si>
  <si>
    <t>以前</t>
    <rPh sb="0" eb="2">
      <t>イゼン</t>
    </rPh>
    <phoneticPr fontId="4"/>
  </si>
  <si>
    <t>以後</t>
    <rPh sb="0" eb="2">
      <t>イゴ</t>
    </rPh>
    <phoneticPr fontId="4"/>
  </si>
  <si>
    <t>賦課期日</t>
    <rPh sb="0" eb="4">
      <t>フカキジツ</t>
    </rPh>
    <phoneticPr fontId="4"/>
  </si>
  <si>
    <t>年齢</t>
    <rPh sb="0" eb="2">
      <t>ネンレイ</t>
    </rPh>
    <phoneticPr fontId="4"/>
  </si>
  <si>
    <t>均等割額</t>
    <rPh sb="0" eb="3">
      <t>キントウワリ</t>
    </rPh>
    <rPh sb="3" eb="4">
      <t>ガク</t>
    </rPh>
    <phoneticPr fontId="4"/>
  </si>
  <si>
    <t>令和</t>
    <rPh sb="0" eb="2">
      <t>レイワ</t>
    </rPh>
    <phoneticPr fontId="3"/>
  </si>
  <si>
    <t>医療税率</t>
    <rPh sb="0" eb="2">
      <t>イリョウ</t>
    </rPh>
    <rPh sb="2" eb="4">
      <t>ゼイリツ</t>
    </rPh>
    <phoneticPr fontId="2"/>
  </si>
  <si>
    <t>介護税率</t>
    <rPh sb="0" eb="2">
      <t>カイゴ</t>
    </rPh>
    <rPh sb="2" eb="4">
      <t>ゼイリツ</t>
    </rPh>
    <phoneticPr fontId="2"/>
  </si>
  <si>
    <t>医療均等</t>
    <rPh sb="0" eb="2">
      <t>イリョウ</t>
    </rPh>
    <rPh sb="2" eb="4">
      <t>キントウ</t>
    </rPh>
    <phoneticPr fontId="2"/>
  </si>
  <si>
    <t>介護均等</t>
    <rPh sb="0" eb="2">
      <t>カイゴ</t>
    </rPh>
    <rPh sb="2" eb="4">
      <t>キントウ</t>
    </rPh>
    <phoneticPr fontId="2"/>
  </si>
  <si>
    <t>軽減５割</t>
    <rPh sb="0" eb="2">
      <t>ケイゲン</t>
    </rPh>
    <rPh sb="3" eb="4">
      <t>ワリ</t>
    </rPh>
    <phoneticPr fontId="2"/>
  </si>
  <si>
    <t>軽減２割</t>
    <rPh sb="0" eb="2">
      <t>ケイゲン</t>
    </rPh>
    <rPh sb="3" eb="4">
      <t>ワリ</t>
    </rPh>
    <phoneticPr fontId="2"/>
  </si>
  <si>
    <t>医療限度</t>
    <rPh sb="0" eb="2">
      <t>イリョウ</t>
    </rPh>
    <rPh sb="2" eb="4">
      <t>ゲンド</t>
    </rPh>
    <phoneticPr fontId="2"/>
  </si>
  <si>
    <t>介護限度</t>
    <rPh sb="0" eb="2">
      <t>カイゴ</t>
    </rPh>
    <rPh sb="2" eb="4">
      <t>ゲンド</t>
    </rPh>
    <phoneticPr fontId="2"/>
  </si>
  <si>
    <t>税率</t>
    <rPh sb="0" eb="2">
      <t>ゼイリツ</t>
    </rPh>
    <phoneticPr fontId="3"/>
  </si>
  <si>
    <t>税額</t>
    <rPh sb="0" eb="2">
      <t>ゼイガク</t>
    </rPh>
    <phoneticPr fontId="3"/>
  </si>
  <si>
    <t>軽減</t>
    <rPh sb="0" eb="2">
      <t>ケイゲン</t>
    </rPh>
    <phoneticPr fontId="3"/>
  </si>
  <si>
    <t>令和ｘ年度→</t>
    <rPh sb="0" eb="2">
      <t>レイワ</t>
    </rPh>
    <rPh sb="3" eb="5">
      <t>ネンド</t>
    </rPh>
    <phoneticPr fontId="3"/>
  </si>
  <si>
    <t>非自発的失業</t>
    <rPh sb="0" eb="1">
      <t>ヒ</t>
    </rPh>
    <rPh sb="1" eb="4">
      <t>ジハツテキ</t>
    </rPh>
    <rPh sb="4" eb="6">
      <t>シツギョウ</t>
    </rPh>
    <phoneticPr fontId="4"/>
  </si>
  <si>
    <t>基礎控除</t>
    <rPh sb="0" eb="2">
      <t>キソ</t>
    </rPh>
    <rPh sb="2" eb="4">
      <t>コウジョ</t>
    </rPh>
    <phoneticPr fontId="3"/>
  </si>
  <si>
    <t>給与所得合計用</t>
    <rPh sb="0" eb="2">
      <t>キュウヨ</t>
    </rPh>
    <rPh sb="2" eb="4">
      <t>ショトク</t>
    </rPh>
    <rPh sb="4" eb="6">
      <t>ゴウケイ</t>
    </rPh>
    <rPh sb="6" eb="7">
      <t>ヨウ</t>
    </rPh>
    <phoneticPr fontId="3"/>
  </si>
  <si>
    <t>年金所得合計用</t>
    <rPh sb="0" eb="2">
      <t>ネンキン</t>
    </rPh>
    <rPh sb="2" eb="4">
      <t>ショトク</t>
    </rPh>
    <rPh sb="4" eb="6">
      <t>ゴウケイ</t>
    </rPh>
    <rPh sb="6" eb="7">
      <t>ヨウ</t>
    </rPh>
    <phoneticPr fontId="3"/>
  </si>
  <si>
    <t>〇</t>
    <phoneticPr fontId="3"/>
  </si>
  <si>
    <t>〇</t>
    <phoneticPr fontId="3"/>
  </si>
  <si>
    <t>解雇</t>
    <rPh sb="0" eb="2">
      <t>カイコ</t>
    </rPh>
    <phoneticPr fontId="3"/>
  </si>
  <si>
    <t>天災等の理由により事業の継続が不可能となったことによる解雇</t>
    <rPh sb="0" eb="2">
      <t>テンサイ</t>
    </rPh>
    <rPh sb="2" eb="3">
      <t>トウ</t>
    </rPh>
    <rPh sb="4" eb="6">
      <t>リユウ</t>
    </rPh>
    <rPh sb="9" eb="11">
      <t>ジギョウ</t>
    </rPh>
    <rPh sb="12" eb="14">
      <t>ケイゾク</t>
    </rPh>
    <rPh sb="15" eb="18">
      <t>フカノウ</t>
    </rPh>
    <rPh sb="27" eb="29">
      <t>カイコ</t>
    </rPh>
    <phoneticPr fontId="3"/>
  </si>
  <si>
    <t>契約期間満了による退職、定年、移籍出向</t>
    <rPh sb="0" eb="2">
      <t>ケイヤク</t>
    </rPh>
    <rPh sb="2" eb="4">
      <t>キカン</t>
    </rPh>
    <rPh sb="4" eb="6">
      <t>マンリョウ</t>
    </rPh>
    <rPh sb="9" eb="11">
      <t>タイショク</t>
    </rPh>
    <rPh sb="12" eb="14">
      <t>テイネン</t>
    </rPh>
    <rPh sb="15" eb="17">
      <t>イセキ</t>
    </rPh>
    <rPh sb="17" eb="19">
      <t>シュッコウ</t>
    </rPh>
    <phoneticPr fontId="3"/>
  </si>
  <si>
    <t>特定雇止めによる離職（雇用期間3年以上雇止め通知あり）</t>
    <rPh sb="0" eb="2">
      <t>トクテイ</t>
    </rPh>
    <rPh sb="2" eb="3">
      <t>ヤトイ</t>
    </rPh>
    <rPh sb="3" eb="4">
      <t>ド</t>
    </rPh>
    <rPh sb="8" eb="10">
      <t>リショク</t>
    </rPh>
    <rPh sb="11" eb="13">
      <t>コヨウ</t>
    </rPh>
    <rPh sb="13" eb="15">
      <t>キカン</t>
    </rPh>
    <rPh sb="16" eb="19">
      <t>ネンイジョウ</t>
    </rPh>
    <rPh sb="19" eb="20">
      <t>ヤトイ</t>
    </rPh>
    <rPh sb="20" eb="21">
      <t>ド</t>
    </rPh>
    <rPh sb="22" eb="24">
      <t>ツウチ</t>
    </rPh>
    <phoneticPr fontId="3"/>
  </si>
  <si>
    <t>特定雇止めによる離職（雇用期間3年未満等更新明示あり）</t>
    <rPh sb="0" eb="2">
      <t>トクテイ</t>
    </rPh>
    <rPh sb="2" eb="3">
      <t>ヤトイ</t>
    </rPh>
    <rPh sb="3" eb="4">
      <t>ド</t>
    </rPh>
    <rPh sb="8" eb="10">
      <t>リショク</t>
    </rPh>
    <rPh sb="11" eb="13">
      <t>コヨウ</t>
    </rPh>
    <rPh sb="13" eb="15">
      <t>キカン</t>
    </rPh>
    <rPh sb="16" eb="17">
      <t>ネン</t>
    </rPh>
    <rPh sb="17" eb="19">
      <t>ミマン</t>
    </rPh>
    <rPh sb="19" eb="20">
      <t>トウ</t>
    </rPh>
    <rPh sb="20" eb="22">
      <t>コウシン</t>
    </rPh>
    <rPh sb="22" eb="24">
      <t>メイジ</t>
    </rPh>
    <phoneticPr fontId="3"/>
  </si>
  <si>
    <t>特定理由の契約期間満了による離職（雇用期間3年未満等更新明示なし）</t>
    <rPh sb="0" eb="2">
      <t>トクテイ</t>
    </rPh>
    <rPh sb="2" eb="4">
      <t>リユウ</t>
    </rPh>
    <rPh sb="5" eb="7">
      <t>ケイヤク</t>
    </rPh>
    <rPh sb="7" eb="9">
      <t>キカン</t>
    </rPh>
    <rPh sb="9" eb="11">
      <t>マンリョウ</t>
    </rPh>
    <rPh sb="14" eb="16">
      <t>リショク</t>
    </rPh>
    <rPh sb="17" eb="19">
      <t>コヨウ</t>
    </rPh>
    <rPh sb="19" eb="21">
      <t>キカン</t>
    </rPh>
    <rPh sb="22" eb="23">
      <t>ネン</t>
    </rPh>
    <rPh sb="23" eb="25">
      <t>ミマン</t>
    </rPh>
    <rPh sb="25" eb="26">
      <t>トウ</t>
    </rPh>
    <rPh sb="26" eb="28">
      <t>コウシン</t>
    </rPh>
    <rPh sb="28" eb="30">
      <t>メイジ</t>
    </rPh>
    <phoneticPr fontId="3"/>
  </si>
  <si>
    <t>契約期間満了による退職</t>
    <rPh sb="0" eb="2">
      <t>ケイヤク</t>
    </rPh>
    <rPh sb="2" eb="4">
      <t>キカン</t>
    </rPh>
    <rPh sb="4" eb="6">
      <t>マンリョウ</t>
    </rPh>
    <rPh sb="9" eb="11">
      <t>タイショク</t>
    </rPh>
    <phoneticPr fontId="3"/>
  </si>
  <si>
    <t>定年、移籍出向</t>
    <rPh sb="0" eb="2">
      <t>テイネン</t>
    </rPh>
    <rPh sb="3" eb="5">
      <t>イセキ</t>
    </rPh>
    <rPh sb="5" eb="7">
      <t>シュッコウ</t>
    </rPh>
    <phoneticPr fontId="3"/>
  </si>
  <si>
    <t>事業主からの働きかけによる正当な理由のある自己都合退職</t>
    <rPh sb="0" eb="3">
      <t>ジギョウヌシ</t>
    </rPh>
    <rPh sb="6" eb="7">
      <t>ハタラ</t>
    </rPh>
    <rPh sb="13" eb="15">
      <t>セイトウ</t>
    </rPh>
    <rPh sb="16" eb="18">
      <t>リユウ</t>
    </rPh>
    <rPh sb="21" eb="23">
      <t>ジコ</t>
    </rPh>
    <rPh sb="23" eb="25">
      <t>ツゴウ</t>
    </rPh>
    <rPh sb="25" eb="27">
      <t>タイショク</t>
    </rPh>
    <phoneticPr fontId="3"/>
  </si>
  <si>
    <t>事業所移転等に伴う正当な理由のある自己都合退職</t>
    <rPh sb="0" eb="3">
      <t>ジギョウショ</t>
    </rPh>
    <rPh sb="3" eb="5">
      <t>イテン</t>
    </rPh>
    <rPh sb="5" eb="6">
      <t>トウ</t>
    </rPh>
    <rPh sb="7" eb="8">
      <t>トモナ</t>
    </rPh>
    <rPh sb="9" eb="11">
      <t>セイトウ</t>
    </rPh>
    <rPh sb="12" eb="14">
      <t>リユウ</t>
    </rPh>
    <rPh sb="17" eb="19">
      <t>ジコ</t>
    </rPh>
    <rPh sb="19" eb="21">
      <t>ツゴウ</t>
    </rPh>
    <rPh sb="21" eb="23">
      <t>タイショク</t>
    </rPh>
    <phoneticPr fontId="3"/>
  </si>
  <si>
    <t>正当な理由のある自己都合退職</t>
    <rPh sb="0" eb="2">
      <t>セイトウ</t>
    </rPh>
    <rPh sb="3" eb="5">
      <t>リユウ</t>
    </rPh>
    <rPh sb="8" eb="14">
      <t>ジコツゴウタイショク</t>
    </rPh>
    <phoneticPr fontId="3"/>
  </si>
  <si>
    <t>特定の正当な理由のある自己都合退職</t>
    <rPh sb="0" eb="2">
      <t>トクテイ</t>
    </rPh>
    <rPh sb="3" eb="5">
      <t>セイトウ</t>
    </rPh>
    <rPh sb="6" eb="8">
      <t>リユウ</t>
    </rPh>
    <rPh sb="11" eb="13">
      <t>ジコ</t>
    </rPh>
    <rPh sb="13" eb="15">
      <t>ツゴウ</t>
    </rPh>
    <rPh sb="15" eb="17">
      <t>タイショク</t>
    </rPh>
    <phoneticPr fontId="3"/>
  </si>
  <si>
    <t>正当な理由のない自己都合退職</t>
    <rPh sb="0" eb="2">
      <t>セイトウ</t>
    </rPh>
    <rPh sb="3" eb="5">
      <t>リユウ</t>
    </rPh>
    <rPh sb="8" eb="14">
      <t>ジコツゴウタイショク</t>
    </rPh>
    <phoneticPr fontId="3"/>
  </si>
  <si>
    <t>正当な理由のない自己都合退職（受給資格等決定前に被保険者期間が2ヶ月以上）</t>
    <rPh sb="0" eb="2">
      <t>セイトウ</t>
    </rPh>
    <rPh sb="3" eb="5">
      <t>リユウ</t>
    </rPh>
    <rPh sb="8" eb="14">
      <t>ジコツゴウタイショク</t>
    </rPh>
    <rPh sb="15" eb="17">
      <t>ジュキュウ</t>
    </rPh>
    <rPh sb="17" eb="19">
      <t>シカク</t>
    </rPh>
    <rPh sb="19" eb="20">
      <t>トウ</t>
    </rPh>
    <rPh sb="20" eb="22">
      <t>ケッテイ</t>
    </rPh>
    <rPh sb="22" eb="23">
      <t>マエ</t>
    </rPh>
    <rPh sb="24" eb="28">
      <t>ヒホケンシャ</t>
    </rPh>
    <rPh sb="28" eb="30">
      <t>キカン</t>
    </rPh>
    <rPh sb="33" eb="36">
      <t>ゲツイジョウ</t>
    </rPh>
    <phoneticPr fontId="3"/>
  </si>
  <si>
    <t>被保険者の責めに帰すべき重大な理由による解雇</t>
    <rPh sb="0" eb="4">
      <t>ヒホケンシャ</t>
    </rPh>
    <rPh sb="5" eb="6">
      <t>セ</t>
    </rPh>
    <rPh sb="8" eb="9">
      <t>キ</t>
    </rPh>
    <rPh sb="12" eb="14">
      <t>ジュウダイ</t>
    </rPh>
    <rPh sb="15" eb="17">
      <t>リユウ</t>
    </rPh>
    <rPh sb="20" eb="22">
      <t>カイコ</t>
    </rPh>
    <phoneticPr fontId="3"/>
  </si>
  <si>
    <t>非自発的失業者の離職コード</t>
    <rPh sb="0" eb="1">
      <t>ヒ</t>
    </rPh>
    <rPh sb="1" eb="4">
      <t>ジハツテキ</t>
    </rPh>
    <rPh sb="4" eb="7">
      <t>シツギョウシャ</t>
    </rPh>
    <rPh sb="8" eb="10">
      <t>リショク</t>
    </rPh>
    <phoneticPr fontId="3"/>
  </si>
  <si>
    <t>均等割額軽減判定</t>
    <rPh sb="0" eb="3">
      <t>キントウワリ</t>
    </rPh>
    <rPh sb="3" eb="4">
      <t>ガク</t>
    </rPh>
    <rPh sb="4" eb="6">
      <t>ケイゲン</t>
    </rPh>
    <rPh sb="6" eb="8">
      <t>ハンテイ</t>
    </rPh>
    <phoneticPr fontId="4"/>
  </si>
  <si>
    <t>黄色のセルに情報を入力してください</t>
    <rPh sb="0" eb="2">
      <t>キイロ</t>
    </rPh>
    <rPh sb="6" eb="8">
      <t>ジョウホウ</t>
    </rPh>
    <rPh sb="9" eb="11">
      <t>ニュウリョク</t>
    </rPh>
    <phoneticPr fontId="3"/>
  </si>
  <si>
    <t>薄茶色のセルにも入力可能です</t>
    <rPh sb="0" eb="1">
      <t>ウス</t>
    </rPh>
    <rPh sb="1" eb="3">
      <t>チャイロ</t>
    </rPh>
    <rPh sb="8" eb="10">
      <t>ニュウリョク</t>
    </rPh>
    <rPh sb="10" eb="12">
      <t>カノウ</t>
    </rPh>
    <phoneticPr fontId="3"/>
  </si>
  <si>
    <t>その他のセルは入力不可です</t>
    <rPh sb="2" eb="3">
      <t>タ</t>
    </rPh>
    <rPh sb="7" eb="9">
      <t>ニュウリョク</t>
    </rPh>
    <rPh sb="9" eb="11">
      <t>フカ</t>
    </rPh>
    <phoneticPr fontId="3"/>
  </si>
  <si>
    <t>給与所得者等該当か？</t>
    <rPh sb="6" eb="8">
      <t>ガイトウ</t>
    </rPh>
    <phoneticPr fontId="3"/>
  </si>
  <si>
    <t>↓</t>
    <phoneticPr fontId="3"/>
  </si>
  <si>
    <t>この世帯の軽減判定所得金額</t>
    <rPh sb="2" eb="4">
      <t>セタイ</t>
    </rPh>
    <rPh sb="5" eb="7">
      <t>ケイゲン</t>
    </rPh>
    <rPh sb="7" eb="9">
      <t>ハンテイ</t>
    </rPh>
    <rPh sb="9" eb="11">
      <t>ショトク</t>
    </rPh>
    <rPh sb="11" eb="13">
      <t>キンガク</t>
    </rPh>
    <phoneticPr fontId="4"/>
  </si>
  <si>
    <t>均等割額軽減判定結果</t>
    <rPh sb="0" eb="3">
      <t>キントウワリ</t>
    </rPh>
    <rPh sb="3" eb="4">
      <t>ガク</t>
    </rPh>
    <rPh sb="4" eb="6">
      <t>ケイゲン</t>
    </rPh>
    <rPh sb="6" eb="8">
      <t>ハンテイ</t>
    </rPh>
    <rPh sb="8" eb="10">
      <t>ケッカ</t>
    </rPh>
    <phoneticPr fontId="3"/>
  </si>
  <si>
    <t>課税限度額</t>
    <rPh sb="0" eb="2">
      <t>カゼイ</t>
    </rPh>
    <rPh sb="2" eb="4">
      <t>ゲンド</t>
    </rPh>
    <rPh sb="4" eb="5">
      <t>ガク</t>
    </rPh>
    <phoneticPr fontId="3"/>
  </si>
  <si>
    <t>税額・税率・限度額</t>
    <phoneticPr fontId="3"/>
  </si>
  <si>
    <t>世帯の合計所得判定金額の計算方法</t>
    <phoneticPr fontId="3"/>
  </si>
  <si>
    <t>軽減基準所得年金控除</t>
    <rPh sb="0" eb="2">
      <t>ケイゲン</t>
    </rPh>
    <rPh sb="2" eb="4">
      <t>キジュン</t>
    </rPh>
    <rPh sb="4" eb="6">
      <t>ショトク</t>
    </rPh>
    <rPh sb="6" eb="8">
      <t>ネンキン</t>
    </rPh>
    <rPh sb="8" eb="10">
      <t>コウジョ</t>
    </rPh>
    <phoneticPr fontId="3"/>
  </si>
  <si>
    <t>軽減判定所得額</t>
    <rPh sb="0" eb="2">
      <t>ケイゲン</t>
    </rPh>
    <rPh sb="2" eb="4">
      <t>ハンテイ</t>
    </rPh>
    <rPh sb="4" eb="6">
      <t>ショトク</t>
    </rPh>
    <rPh sb="6" eb="7">
      <t>ガク</t>
    </rPh>
    <phoneticPr fontId="4"/>
  </si>
  <si>
    <t>←この行は必須（この行の記入で人数を判断しています、世帯主は一番左に、他の加入者は左詰めで）</t>
    <rPh sb="3" eb="4">
      <t>ギョウ</t>
    </rPh>
    <rPh sb="5" eb="7">
      <t>ヒッス</t>
    </rPh>
    <rPh sb="10" eb="11">
      <t>ギョウ</t>
    </rPh>
    <rPh sb="12" eb="14">
      <t>キニュウ</t>
    </rPh>
    <rPh sb="15" eb="17">
      <t>ニンズウ</t>
    </rPh>
    <rPh sb="18" eb="20">
      <t>ハンダン</t>
    </rPh>
    <rPh sb="26" eb="29">
      <t>セタイヌシ</t>
    </rPh>
    <rPh sb="30" eb="32">
      <t>イチバン</t>
    </rPh>
    <rPh sb="32" eb="33">
      <t>ヒダリ</t>
    </rPh>
    <rPh sb="35" eb="36">
      <t>タ</t>
    </rPh>
    <rPh sb="37" eb="40">
      <t>カニュウシャ</t>
    </rPh>
    <rPh sb="41" eb="43">
      <t>ヒダリヅ</t>
    </rPh>
    <phoneticPr fontId="4"/>
  </si>
  <si>
    <t>未就学児軽減対象か？</t>
    <rPh sb="0" eb="4">
      <t>ミシュウガクジ</t>
    </rPh>
    <rPh sb="4" eb="6">
      <t>ケイゲン</t>
    </rPh>
    <rPh sb="6" eb="8">
      <t>タイショウ</t>
    </rPh>
    <phoneticPr fontId="3"/>
  </si>
  <si>
    <t>加入月数</t>
    <rPh sb="0" eb="2">
      <t>カニュウ</t>
    </rPh>
    <rPh sb="2" eb="4">
      <t>ツキスウ</t>
    </rPh>
    <phoneticPr fontId="3"/>
  </si>
  <si>
    <t>する</t>
  </si>
  <si>
    <t>世帯主
及び
加入者</t>
    <rPh sb="0" eb="3">
      <t>セタイヌシ</t>
    </rPh>
    <rPh sb="4" eb="5">
      <t>オヨ</t>
    </rPh>
    <rPh sb="7" eb="10">
      <t>カニュウシャ</t>
    </rPh>
    <phoneticPr fontId="3"/>
  </si>
  <si>
    <t>年齢</t>
    <rPh sb="0" eb="2">
      <t>ネンレイ</t>
    </rPh>
    <phoneticPr fontId="3"/>
  </si>
  <si>
    <t>年税額計</t>
    <rPh sb="0" eb="3">
      <t>ネンゼイガク</t>
    </rPh>
    <rPh sb="3" eb="4">
      <t>ケイ</t>
    </rPh>
    <phoneticPr fontId="3"/>
  </si>
  <si>
    <t>所得割基礎額</t>
    <rPh sb="0" eb="2">
      <t>ショトク</t>
    </rPh>
    <rPh sb="2" eb="3">
      <t>ワリ</t>
    </rPh>
    <rPh sb="3" eb="5">
      <t>キソ</t>
    </rPh>
    <rPh sb="5" eb="6">
      <t>ガク</t>
    </rPh>
    <phoneticPr fontId="4"/>
  </si>
  <si>
    <t>資格チェック</t>
    <rPh sb="0" eb="2">
      <t>シカク</t>
    </rPh>
    <phoneticPr fontId="3"/>
  </si>
  <si>
    <t>4月</t>
    <rPh sb="1" eb="2">
      <t>ガツ</t>
    </rPh>
    <phoneticPr fontId="3"/>
  </si>
  <si>
    <t>5月</t>
  </si>
  <si>
    <t>6月</t>
  </si>
  <si>
    <t>7月</t>
  </si>
  <si>
    <t>8月</t>
  </si>
  <si>
    <t>9月</t>
  </si>
  <si>
    <t>10月</t>
  </si>
  <si>
    <t>11月</t>
  </si>
  <si>
    <t>12月</t>
  </si>
  <si>
    <t>1月</t>
  </si>
  <si>
    <t>2月</t>
  </si>
  <si>
    <t>3月</t>
  </si>
  <si>
    <t>75歳国保喪失</t>
    <rPh sb="2" eb="3">
      <t>サイ</t>
    </rPh>
    <rPh sb="3" eb="5">
      <t>コクホ</t>
    </rPh>
    <rPh sb="5" eb="7">
      <t>ソウシツ</t>
    </rPh>
    <phoneticPr fontId="3"/>
  </si>
  <si>
    <t>（各合計額は端数処理前の参考額）</t>
    <rPh sb="1" eb="2">
      <t>カク</t>
    </rPh>
    <rPh sb="2" eb="4">
      <t>ゴウケイ</t>
    </rPh>
    <rPh sb="4" eb="5">
      <t>ガク</t>
    </rPh>
    <rPh sb="6" eb="8">
      <t>ハスウ</t>
    </rPh>
    <rPh sb="8" eb="10">
      <t>ショリ</t>
    </rPh>
    <rPh sb="10" eb="11">
      <t>マエ</t>
    </rPh>
    <rPh sb="12" eb="14">
      <t>サンコウ</t>
    </rPh>
    <rPh sb="14" eb="15">
      <t>ガク</t>
    </rPh>
    <phoneticPr fontId="3"/>
  </si>
  <si>
    <t>非自発的失業軽減対象者か？</t>
    <rPh sb="8" eb="10">
      <t>タイショウ</t>
    </rPh>
    <rPh sb="10" eb="11">
      <t>シャ</t>
    </rPh>
    <phoneticPr fontId="3"/>
  </si>
  <si>
    <t>40歳介護加入</t>
    <rPh sb="2" eb="3">
      <t>サイ</t>
    </rPh>
    <rPh sb="5" eb="7">
      <t>カニュウ</t>
    </rPh>
    <phoneticPr fontId="3"/>
  </si>
  <si>
    <t>65歳介護喪失</t>
    <rPh sb="2" eb="3">
      <t>サイ</t>
    </rPh>
    <rPh sb="5" eb="7">
      <t>ソウシツ</t>
    </rPh>
    <phoneticPr fontId="3"/>
  </si>
  <si>
    <t>均等割税額</t>
    <rPh sb="0" eb="3">
      <t>キントウワリ</t>
    </rPh>
    <rPh sb="3" eb="5">
      <t>ゼイガク</t>
    </rPh>
    <phoneticPr fontId="3"/>
  </si>
  <si>
    <t>合計額</t>
    <rPh sb="0" eb="2">
      <t>ゴウケイ</t>
    </rPh>
    <rPh sb="2" eb="3">
      <t>ガク</t>
    </rPh>
    <phoneticPr fontId="3"/>
  </si>
  <si>
    <t>確定税額</t>
    <rPh sb="0" eb="2">
      <t>カクテイ</t>
    </rPh>
    <rPh sb="2" eb="4">
      <t>ゼイガク</t>
    </rPh>
    <phoneticPr fontId="3"/>
  </si>
  <si>
    <t>特記事項</t>
    <rPh sb="0" eb="2">
      <t>トッキ</t>
    </rPh>
    <rPh sb="2" eb="4">
      <t>ジコウ</t>
    </rPh>
    <phoneticPr fontId="3"/>
  </si>
  <si>
    <t>算出種別</t>
    <rPh sb="0" eb="2">
      <t>サンシュツ</t>
    </rPh>
    <rPh sb="2" eb="4">
      <t>シュベツ</t>
    </rPh>
    <phoneticPr fontId="3"/>
  </si>
  <si>
    <t>所得割税額</t>
    <rPh sb="0" eb="2">
      <t>ショトク</t>
    </rPh>
    <rPh sb="2" eb="3">
      <t>ワリ</t>
    </rPh>
    <rPh sb="3" eb="5">
      <t>ゼイガク</t>
    </rPh>
    <phoneticPr fontId="3"/>
  </si>
  <si>
    <t>試算年税額</t>
    <rPh sb="0" eb="2">
      <t>シサン</t>
    </rPh>
    <rPh sb="2" eb="3">
      <t>ネン</t>
    </rPh>
    <rPh sb="3" eb="5">
      <t>ゼイガク</t>
    </rPh>
    <phoneticPr fontId="3"/>
  </si>
  <si>
    <t>期割と納期限</t>
    <rPh sb="0" eb="1">
      <t>キ</t>
    </rPh>
    <rPh sb="1" eb="2">
      <t>ワリ</t>
    </rPh>
    <rPh sb="3" eb="6">
      <t>ノウキゲン</t>
    </rPh>
    <phoneticPr fontId="3"/>
  </si>
  <si>
    <t>納期限</t>
    <rPh sb="0" eb="3">
      <t>ノウキゲン</t>
    </rPh>
    <phoneticPr fontId="3"/>
  </si>
  <si>
    <t>期割り</t>
    <rPh sb="0" eb="1">
      <t>キ</t>
    </rPh>
    <rPh sb="1" eb="2">
      <t>ワリ</t>
    </rPh>
    <phoneticPr fontId="3"/>
  </si>
  <si>
    <t>最終納期月</t>
    <rPh sb="0" eb="2">
      <t>サイシュウ</t>
    </rPh>
    <rPh sb="2" eb="4">
      <t>ノウキ</t>
    </rPh>
    <rPh sb="4" eb="5">
      <t>ツキ</t>
    </rPh>
    <phoneticPr fontId="3"/>
  </si>
  <si>
    <t>月</t>
    <rPh sb="0" eb="1">
      <t>ガツ</t>
    </rPh>
    <phoneticPr fontId="3"/>
  </si>
  <si>
    <t>納期</t>
    <rPh sb="0" eb="2">
      <t>ノウキ</t>
    </rPh>
    <phoneticPr fontId="3"/>
  </si>
  <si>
    <t>基礎情報</t>
    <rPh sb="0" eb="4">
      <t>キソジョウホウ</t>
    </rPh>
    <phoneticPr fontId="3"/>
  </si>
  <si>
    <t>条例上納期</t>
    <rPh sb="0" eb="2">
      <t>ジョウレイ</t>
    </rPh>
    <rPh sb="2" eb="3">
      <t>ジョウ</t>
    </rPh>
    <rPh sb="3" eb="5">
      <t>ノウキ</t>
    </rPh>
    <phoneticPr fontId="3"/>
  </si>
  <si>
    <t>実際の納期</t>
    <rPh sb="0" eb="2">
      <t>ジッサイ</t>
    </rPh>
    <rPh sb="3" eb="5">
      <t>ノウキ</t>
    </rPh>
    <phoneticPr fontId="3"/>
  </si>
  <si>
    <t>税額</t>
    <rPh sb="0" eb="2">
      <t>ゼイガク</t>
    </rPh>
    <phoneticPr fontId="3"/>
  </si>
  <si>
    <t>納通発送月</t>
    <rPh sb="0" eb="1">
      <t>オサメ</t>
    </rPh>
    <rPh sb="2" eb="4">
      <t>ハッソウ</t>
    </rPh>
    <rPh sb="4" eb="5">
      <t>ツキ</t>
    </rPh>
    <phoneticPr fontId="3"/>
  </si>
  <si>
    <t>A</t>
    <phoneticPr fontId="3"/>
  </si>
  <si>
    <t>B</t>
    <phoneticPr fontId="3"/>
  </si>
  <si>
    <t>C</t>
    <phoneticPr fontId="3"/>
  </si>
  <si>
    <t>D</t>
    <phoneticPr fontId="3"/>
  </si>
  <si>
    <t>E</t>
    <phoneticPr fontId="3"/>
  </si>
  <si>
    <t>A</t>
    <phoneticPr fontId="3"/>
  </si>
  <si>
    <t>E</t>
    <phoneticPr fontId="3"/>
  </si>
  <si>
    <t>テーブル</t>
    <phoneticPr fontId="3"/>
  </si>
  <si>
    <t>年金収入→年金所得変換テーブル</t>
    <rPh sb="2" eb="4">
      <t>シュウニュウ</t>
    </rPh>
    <rPh sb="5" eb="7">
      <t>ネンキン</t>
    </rPh>
    <rPh sb="7" eb="9">
      <t>ショトク</t>
    </rPh>
    <rPh sb="9" eb="11">
      <t>ヘンカン</t>
    </rPh>
    <phoneticPr fontId="3"/>
  </si>
  <si>
    <t>給与収入→給与所得変換テーブル</t>
    <rPh sb="2" eb="4">
      <t>シュウニュウ</t>
    </rPh>
    <rPh sb="5" eb="7">
      <t>キュウヨ</t>
    </rPh>
    <rPh sb="7" eb="9">
      <t>ショトク</t>
    </rPh>
    <rPh sb="9" eb="11">
      <t>ヘンカン</t>
    </rPh>
    <phoneticPr fontId="3"/>
  </si>
  <si>
    <t>支援限度</t>
    <rPh sb="0" eb="2">
      <t>シエン</t>
    </rPh>
    <rPh sb="2" eb="4">
      <t>ゲンド</t>
    </rPh>
    <phoneticPr fontId="2"/>
  </si>
  <si>
    <t>軽減判定時の６５歳以上 年金所得－１５万円に対応しました。</t>
    <rPh sb="0" eb="2">
      <t>ケイゲン</t>
    </rPh>
    <rPh sb="2" eb="4">
      <t>ハンテイ</t>
    </rPh>
    <rPh sb="4" eb="5">
      <t>ジ</t>
    </rPh>
    <rPh sb="8" eb="11">
      <t>サイイジョウ</t>
    </rPh>
    <rPh sb="12" eb="14">
      <t>ネンキン</t>
    </rPh>
    <rPh sb="14" eb="16">
      <t>ショトク</t>
    </rPh>
    <rPh sb="19" eb="21">
      <t>マンエン</t>
    </rPh>
    <rPh sb="22" eb="24">
      <t>タイオウ</t>
    </rPh>
    <phoneticPr fontId="4"/>
  </si>
  <si>
    <t>未就学児の均等割り軽減に対応しました。</t>
    <rPh sb="0" eb="4">
      <t>ミシュウガクジ</t>
    </rPh>
    <rPh sb="5" eb="8">
      <t>キントウワ</t>
    </rPh>
    <rPh sb="9" eb="11">
      <t>ケイゲン</t>
    </rPh>
    <rPh sb="12" eb="14">
      <t>タイオウ</t>
    </rPh>
    <phoneticPr fontId="4"/>
  </si>
  <si>
    <t>世帯主は国民健康保険に加入</t>
    <rPh sb="0" eb="3">
      <t>セタイヌシ</t>
    </rPh>
    <rPh sb="4" eb="10">
      <t>コクミンケンコウホケン</t>
    </rPh>
    <rPh sb="11" eb="13">
      <t>カニュウ</t>
    </rPh>
    <phoneticPr fontId="4"/>
  </si>
  <si>
    <t>入力内容から求めた軽減判定額</t>
    <rPh sb="0" eb="2">
      <t>ニュウリョク</t>
    </rPh>
    <rPh sb="2" eb="4">
      <t>ナイヨウ</t>
    </rPh>
    <rPh sb="6" eb="7">
      <t>モト</t>
    </rPh>
    <rPh sb="9" eb="11">
      <t>ケイゲン</t>
    </rPh>
    <rPh sb="11" eb="13">
      <t>ハンテイ</t>
    </rPh>
    <rPh sb="13" eb="14">
      <t>ガク</t>
    </rPh>
    <phoneticPr fontId="4"/>
  </si>
  <si>
    <t>非自発的失業軽減分（給与所得△7割）</t>
    <rPh sb="0" eb="1">
      <t>ヒ</t>
    </rPh>
    <rPh sb="1" eb="4">
      <t>ジハツテキ</t>
    </rPh>
    <rPh sb="4" eb="6">
      <t>シツギョウ</t>
    </rPh>
    <rPh sb="6" eb="8">
      <t>ケイゲン</t>
    </rPh>
    <rPh sb="8" eb="9">
      <t>ブン</t>
    </rPh>
    <rPh sb="10" eb="12">
      <t>キュウヨ</t>
    </rPh>
    <rPh sb="12" eb="14">
      <t>ショトク</t>
    </rPh>
    <rPh sb="16" eb="17">
      <t>ワリ</t>
    </rPh>
    <phoneticPr fontId="4"/>
  </si>
  <si>
    <t>この金額を比較して判定します。</t>
    <rPh sb="2" eb="4">
      <t>キンガク</t>
    </rPh>
    <rPh sb="5" eb="7">
      <t>ヒカク</t>
    </rPh>
    <rPh sb="9" eb="11">
      <t>ハンテイ</t>
    </rPh>
    <phoneticPr fontId="4"/>
  </si>
  <si>
    <t>判定結果は、下に表示されます。</t>
    <rPh sb="0" eb="2">
      <t>ハンテイ</t>
    </rPh>
    <rPh sb="2" eb="4">
      <t>ケッカ</t>
    </rPh>
    <rPh sb="6" eb="7">
      <t>シタ</t>
    </rPh>
    <rPh sb="8" eb="10">
      <t>ヒョウジ</t>
    </rPh>
    <phoneticPr fontId="4"/>
  </si>
  <si>
    <t>未就学児は均等割が軽減されます。</t>
    <rPh sb="0" eb="4">
      <t>ミシュウガクジ</t>
    </rPh>
    <rPh sb="5" eb="8">
      <t>キントウワリ</t>
    </rPh>
    <rPh sb="9" eb="11">
      <t>ケイゲン</t>
    </rPh>
    <phoneticPr fontId="4"/>
  </si>
  <si>
    <t>（令和４年度から）</t>
    <rPh sb="1" eb="3">
      <t>レイワ</t>
    </rPh>
    <rPh sb="4" eb="6">
      <t>ネンド</t>
    </rPh>
    <phoneticPr fontId="4"/>
  </si>
  <si>
    <t>その軽減割合が表示されます。</t>
    <rPh sb="2" eb="4">
      <t>ケイゲン</t>
    </rPh>
    <rPh sb="4" eb="6">
      <t>ワリアイ</t>
    </rPh>
    <rPh sb="7" eb="9">
      <t>ヒョウジ</t>
    </rPh>
    <phoneticPr fontId="4"/>
  </si>
  <si>
    <t>（生年月日から自動計算されます）</t>
    <rPh sb="1" eb="3">
      <t>セイネン</t>
    </rPh>
    <rPh sb="3" eb="5">
      <t>ガッピ</t>
    </rPh>
    <rPh sb="7" eb="9">
      <t>ジドウ</t>
    </rPh>
    <rPh sb="9" eb="11">
      <t>ケイサン</t>
    </rPh>
    <phoneticPr fontId="4"/>
  </si>
  <si>
    <t>出生時加入</t>
    <rPh sb="0" eb="2">
      <t>シュッショウ</t>
    </rPh>
    <rPh sb="2" eb="3">
      <t>ジ</t>
    </rPh>
    <rPh sb="3" eb="5">
      <t>カニュウ</t>
    </rPh>
    <phoneticPr fontId="3"/>
  </si>
  <si>
    <t>確定申告書</t>
    <rPh sb="0" eb="2">
      <t>カクテイ</t>
    </rPh>
    <rPh sb="2" eb="4">
      <t>シンコク</t>
    </rPh>
    <rPh sb="4" eb="5">
      <t>ショ</t>
    </rPh>
    <phoneticPr fontId="3"/>
  </si>
  <si>
    <t>源泉徴収票（給与）</t>
    <rPh sb="0" eb="5">
      <t>ゲンセンチョウシュウヒョウ</t>
    </rPh>
    <rPh sb="6" eb="8">
      <t>キュウヨ</t>
    </rPh>
    <phoneticPr fontId="3"/>
  </si>
  <si>
    <t>源泉徴収票（年金）</t>
    <rPh sb="0" eb="5">
      <t>ゲンセンチョウシュウヒョウ</t>
    </rPh>
    <rPh sb="6" eb="8">
      <t>ネンキン</t>
    </rPh>
    <phoneticPr fontId="3"/>
  </si>
  <si>
    <t>A</t>
    <phoneticPr fontId="3"/>
  </si>
  <si>
    <t>B</t>
    <phoneticPr fontId="3"/>
  </si>
  <si>
    <t>C</t>
    <phoneticPr fontId="3"/>
  </si>
  <si>
    <t>D</t>
    <phoneticPr fontId="3"/>
  </si>
  <si>
    <t>E</t>
    <phoneticPr fontId="3"/>
  </si>
  <si>
    <t>計算1</t>
    <rPh sb="0" eb="2">
      <t>ケイサン</t>
    </rPh>
    <phoneticPr fontId="3"/>
  </si>
  <si>
    <t>計算2</t>
    <rPh sb="0" eb="2">
      <t>ケイサン</t>
    </rPh>
    <phoneticPr fontId="3"/>
  </si>
  <si>
    <t>計算1</t>
    <rPh sb="0" eb="2">
      <t>ケイサン</t>
    </rPh>
    <phoneticPr fontId="4"/>
  </si>
  <si>
    <t>計算2</t>
    <rPh sb="0" eb="2">
      <t>ケイサン</t>
    </rPh>
    <phoneticPr fontId="4"/>
  </si>
  <si>
    <t>基礎控除変換テーブル</t>
    <rPh sb="0" eb="2">
      <t>キソ</t>
    </rPh>
    <rPh sb="2" eb="4">
      <t>コウジョ</t>
    </rPh>
    <rPh sb="4" eb="6">
      <t>ヘンカン</t>
    </rPh>
    <phoneticPr fontId="3"/>
  </si>
  <si>
    <t>E</t>
    <phoneticPr fontId="3"/>
  </si>
  <si>
    <t>C</t>
    <phoneticPr fontId="3"/>
  </si>
  <si>
    <t>計算パターン</t>
    <rPh sb="0" eb="2">
      <t>ケイサン</t>
    </rPh>
    <phoneticPr fontId="2"/>
  </si>
  <si>
    <t>軽減基礎</t>
    <rPh sb="0" eb="2">
      <t>ケイゲン</t>
    </rPh>
    <rPh sb="2" eb="4">
      <t>キソ</t>
    </rPh>
    <phoneticPr fontId="3"/>
  </si>
  <si>
    <t>軽減給与所得者等</t>
    <rPh sb="0" eb="2">
      <t>ケイゲン</t>
    </rPh>
    <rPh sb="2" eb="4">
      <t>キュウヨ</t>
    </rPh>
    <rPh sb="4" eb="6">
      <t>ショトク</t>
    </rPh>
    <rPh sb="6" eb="7">
      <t>シャ</t>
    </rPh>
    <rPh sb="7" eb="8">
      <t>トウ</t>
    </rPh>
    <phoneticPr fontId="2"/>
  </si>
  <si>
    <t>分離課税の申告をしている方は、この試算シートでは対応できません。</t>
    <rPh sb="0" eb="2">
      <t>ブンリ</t>
    </rPh>
    <rPh sb="2" eb="4">
      <t>カゼイ</t>
    </rPh>
    <rPh sb="5" eb="7">
      <t>シンコク</t>
    </rPh>
    <rPh sb="12" eb="13">
      <t>カタ</t>
    </rPh>
    <rPh sb="17" eb="19">
      <t>シサン</t>
    </rPh>
    <rPh sb="24" eb="26">
      <t>タイオウ</t>
    </rPh>
    <phoneticPr fontId="3"/>
  </si>
  <si>
    <t>産前産後の保険税軽減（令和6年1月～）には対応しておりません。</t>
    <rPh sb="0" eb="2">
      <t>サンゼン</t>
    </rPh>
    <rPh sb="2" eb="4">
      <t>サンゴ</t>
    </rPh>
    <rPh sb="5" eb="7">
      <t>ホケン</t>
    </rPh>
    <rPh sb="7" eb="8">
      <t>ゼイ</t>
    </rPh>
    <rPh sb="8" eb="10">
      <t>ケイゲン</t>
    </rPh>
    <rPh sb="11" eb="13">
      <t>レイワ</t>
    </rPh>
    <rPh sb="14" eb="15">
      <t>ネン</t>
    </rPh>
    <rPh sb="16" eb="17">
      <t>ガツ</t>
    </rPh>
    <rPh sb="21" eb="23">
      <t>タイオウ</t>
    </rPh>
    <phoneticPr fontId="3"/>
  </si>
  <si>
    <t>世帯主と加入者全員が収入（所得）額を申告していることが前提です。未申告者が含まれる場合の暫定税額は計算できません。</t>
    <rPh sb="0" eb="3">
      <t>セタイヌシ</t>
    </rPh>
    <rPh sb="4" eb="7">
      <t>カニュウシャ</t>
    </rPh>
    <rPh sb="7" eb="9">
      <t>ゼンイン</t>
    </rPh>
    <rPh sb="10" eb="12">
      <t>シュウニュウ</t>
    </rPh>
    <rPh sb="13" eb="15">
      <t>ショトク</t>
    </rPh>
    <rPh sb="16" eb="17">
      <t>ガク</t>
    </rPh>
    <rPh sb="18" eb="20">
      <t>シンコク</t>
    </rPh>
    <rPh sb="27" eb="29">
      <t>ゼンテイ</t>
    </rPh>
    <rPh sb="32" eb="36">
      <t>ミシンコクシャ</t>
    </rPh>
    <rPh sb="37" eb="38">
      <t>フク</t>
    </rPh>
    <rPh sb="41" eb="43">
      <t>バアイ</t>
    </rPh>
    <rPh sb="44" eb="46">
      <t>ザンテイ</t>
    </rPh>
    <rPh sb="46" eb="48">
      <t>ゼイガク</t>
    </rPh>
    <rPh sb="49" eb="51">
      <t>ケイサン</t>
    </rPh>
    <phoneticPr fontId="3"/>
  </si>
  <si>
    <t>資格</t>
    <rPh sb="0" eb="2">
      <t>シカク</t>
    </rPh>
    <phoneticPr fontId="3"/>
  </si>
  <si>
    <r>
      <t>←給与・年金以外の</t>
    </r>
    <r>
      <rPr>
        <b/>
        <sz val="9"/>
        <color rgb="FFFF0000"/>
        <rFont val="ＭＳ Ｐゴシック"/>
        <family val="3"/>
        <charset val="128"/>
      </rPr>
      <t>所得</t>
    </r>
    <r>
      <rPr>
        <sz val="9"/>
        <rFont val="ＭＳ Ｐゴシック"/>
        <family val="3"/>
        <charset val="128"/>
      </rPr>
      <t>は直接入力（事業</t>
    </r>
    <r>
      <rPr>
        <b/>
        <sz val="9"/>
        <color rgb="FFFF0000"/>
        <rFont val="ＭＳ Ｐゴシック"/>
        <family val="3"/>
        <charset val="128"/>
      </rPr>
      <t>所得</t>
    </r>
    <r>
      <rPr>
        <sz val="9"/>
        <rFont val="ＭＳ Ｐゴシック"/>
        <family val="3"/>
        <charset val="128"/>
      </rPr>
      <t>・不動産</t>
    </r>
    <r>
      <rPr>
        <b/>
        <sz val="9"/>
        <color rgb="FFFF0000"/>
        <rFont val="ＭＳ Ｐゴシック"/>
        <family val="3"/>
        <charset val="128"/>
      </rPr>
      <t>所得</t>
    </r>
    <r>
      <rPr>
        <sz val="9"/>
        <rFont val="ＭＳ Ｐゴシック"/>
        <family val="3"/>
        <charset val="128"/>
      </rPr>
      <t>等）</t>
    </r>
    <rPh sb="1" eb="3">
      <t>キュウヨ</t>
    </rPh>
    <rPh sb="4" eb="6">
      <t>ネンキン</t>
    </rPh>
    <rPh sb="6" eb="8">
      <t>イガイ</t>
    </rPh>
    <rPh sb="9" eb="11">
      <t>ショトク</t>
    </rPh>
    <rPh sb="12" eb="14">
      <t>チョクセツ</t>
    </rPh>
    <rPh sb="14" eb="16">
      <t>ニュウリョク</t>
    </rPh>
    <rPh sb="17" eb="19">
      <t>ジギョウ</t>
    </rPh>
    <rPh sb="19" eb="21">
      <t>ショトク</t>
    </rPh>
    <rPh sb="22" eb="25">
      <t>フドウサン</t>
    </rPh>
    <rPh sb="25" eb="27">
      <t>ショトク</t>
    </rPh>
    <rPh sb="27" eb="28">
      <t>トウ</t>
    </rPh>
    <phoneticPr fontId="4"/>
  </si>
  <si>
    <r>
      <t>←非自発的失業者の場合、雇用保険受給資格者証の｢離職理由コード」</t>
    </r>
    <r>
      <rPr>
        <b/>
        <sz val="9"/>
        <rFont val="ＭＳ Ｐゴシック"/>
        <family val="3"/>
        <charset val="128"/>
      </rPr>
      <t>数字2桁</t>
    </r>
    <r>
      <rPr>
        <sz val="9"/>
        <rFont val="ＭＳ Ｐゴシック"/>
        <family val="3"/>
        <charset val="128"/>
      </rPr>
      <t>を入力</t>
    </r>
    <r>
      <rPr>
        <sz val="9"/>
        <color rgb="FFFF0000"/>
        <rFont val="ＭＳ Ｐゴシック"/>
        <family val="3"/>
        <charset val="128"/>
      </rPr>
      <t>（別途申請が必要です）</t>
    </r>
    <rPh sb="32" eb="34">
      <t>スウジ</t>
    </rPh>
    <rPh sb="40" eb="42">
      <t>ベット</t>
    </rPh>
    <rPh sb="42" eb="44">
      <t>シンセイ</t>
    </rPh>
    <rPh sb="45" eb="47">
      <t>ヒツヨウ</t>
    </rPh>
    <phoneticPr fontId="3"/>
  </si>
  <si>
    <r>
      <t>←上の行（給与</t>
    </r>
    <r>
      <rPr>
        <b/>
        <sz val="9"/>
        <color rgb="FF00B050"/>
        <rFont val="ＭＳ Ｐゴシック"/>
        <family val="3"/>
        <charset val="128"/>
      </rPr>
      <t>収入</t>
    </r>
    <r>
      <rPr>
        <sz val="9"/>
        <rFont val="ＭＳ Ｐゴシック"/>
        <family val="3"/>
        <charset val="128"/>
      </rPr>
      <t>）を入力すると、この行（給与</t>
    </r>
    <r>
      <rPr>
        <b/>
        <sz val="9"/>
        <color rgb="FFFF0000"/>
        <rFont val="ＭＳ Ｐゴシック"/>
        <family val="3"/>
        <charset val="128"/>
      </rPr>
      <t>所得</t>
    </r>
    <r>
      <rPr>
        <sz val="9"/>
        <rFont val="ＭＳ Ｐゴシック"/>
        <family val="3"/>
        <charset val="128"/>
      </rPr>
      <t>)は自動計算</t>
    </r>
    <rPh sb="1" eb="2">
      <t>ウエ</t>
    </rPh>
    <rPh sb="3" eb="4">
      <t>ギョウ</t>
    </rPh>
    <rPh sb="5" eb="7">
      <t>キュウヨ</t>
    </rPh>
    <rPh sb="7" eb="9">
      <t>シュウニュウ</t>
    </rPh>
    <rPh sb="11" eb="13">
      <t>ニュウリョク</t>
    </rPh>
    <rPh sb="19" eb="20">
      <t>ギョウ</t>
    </rPh>
    <rPh sb="21" eb="23">
      <t>キュウヨ</t>
    </rPh>
    <rPh sb="23" eb="25">
      <t>ショトク</t>
    </rPh>
    <rPh sb="27" eb="29">
      <t>ジドウ</t>
    </rPh>
    <rPh sb="29" eb="31">
      <t>ケイサン</t>
    </rPh>
    <phoneticPr fontId="4"/>
  </si>
  <si>
    <r>
      <t>←上の行（年金</t>
    </r>
    <r>
      <rPr>
        <b/>
        <sz val="9"/>
        <color rgb="FF00B050"/>
        <rFont val="ＭＳ Ｐゴシック"/>
        <family val="3"/>
        <charset val="128"/>
      </rPr>
      <t>収入</t>
    </r>
    <r>
      <rPr>
        <sz val="9"/>
        <rFont val="ＭＳ Ｐゴシック"/>
        <family val="3"/>
        <charset val="128"/>
      </rPr>
      <t>）を入力すると、この行（年金</t>
    </r>
    <r>
      <rPr>
        <b/>
        <sz val="9"/>
        <color rgb="FFFF0000"/>
        <rFont val="ＭＳ Ｐゴシック"/>
        <family val="3"/>
        <charset val="128"/>
      </rPr>
      <t>所得</t>
    </r>
    <r>
      <rPr>
        <sz val="9"/>
        <rFont val="ＭＳ Ｐゴシック"/>
        <family val="3"/>
        <charset val="128"/>
      </rPr>
      <t>）は自動計算</t>
    </r>
    <rPh sb="1" eb="2">
      <t>ウエ</t>
    </rPh>
    <rPh sb="3" eb="4">
      <t>ギョウ</t>
    </rPh>
    <rPh sb="5" eb="7">
      <t>ネンキン</t>
    </rPh>
    <rPh sb="7" eb="9">
      <t>シュウニュウ</t>
    </rPh>
    <rPh sb="11" eb="13">
      <t>ニュウリョク</t>
    </rPh>
    <rPh sb="19" eb="20">
      <t>ギョウ</t>
    </rPh>
    <rPh sb="21" eb="23">
      <t>ネンキン</t>
    </rPh>
    <rPh sb="23" eb="25">
      <t>ショトク</t>
    </rPh>
    <rPh sb="27" eb="29">
      <t>ジドウ</t>
    </rPh>
    <rPh sb="29" eb="31">
      <t>ケイサン</t>
    </rPh>
    <phoneticPr fontId="3"/>
  </si>
  <si>
    <r>
      <t>給与</t>
    </r>
    <r>
      <rPr>
        <b/>
        <sz val="11"/>
        <color rgb="FF00B050"/>
        <rFont val="游ゴシック"/>
        <family val="3"/>
        <charset val="128"/>
        <scheme val="minor"/>
      </rPr>
      <t>収入</t>
    </r>
    <rPh sb="0" eb="2">
      <t>キュウヨ</t>
    </rPh>
    <rPh sb="2" eb="4">
      <t>シュウニュウ</t>
    </rPh>
    <phoneticPr fontId="4"/>
  </si>
  <si>
    <r>
      <t>給与</t>
    </r>
    <r>
      <rPr>
        <b/>
        <sz val="11"/>
        <color rgb="FFFF0000"/>
        <rFont val="游ゴシック"/>
        <family val="3"/>
        <charset val="128"/>
        <scheme val="minor"/>
      </rPr>
      <t>所得</t>
    </r>
    <r>
      <rPr>
        <sz val="11"/>
        <color rgb="FFFF0000"/>
        <rFont val="游ゴシック"/>
        <family val="3"/>
        <charset val="128"/>
        <scheme val="minor"/>
      </rPr>
      <t xml:space="preserve"> a</t>
    </r>
    <rPh sb="0" eb="2">
      <t>キュウヨ</t>
    </rPh>
    <rPh sb="2" eb="4">
      <t>ショトク</t>
    </rPh>
    <phoneticPr fontId="4"/>
  </si>
  <si>
    <r>
      <t>年金</t>
    </r>
    <r>
      <rPr>
        <b/>
        <sz val="11"/>
        <color rgb="FF00B050"/>
        <rFont val="游ゴシック"/>
        <family val="3"/>
        <charset val="128"/>
        <scheme val="minor"/>
      </rPr>
      <t>収入</t>
    </r>
    <rPh sb="0" eb="2">
      <t>ネンキン</t>
    </rPh>
    <rPh sb="2" eb="4">
      <t>シュウニュウ</t>
    </rPh>
    <phoneticPr fontId="4"/>
  </si>
  <si>
    <r>
      <t>年金</t>
    </r>
    <r>
      <rPr>
        <b/>
        <sz val="11"/>
        <color rgb="FFFF0000"/>
        <rFont val="游ゴシック"/>
        <family val="3"/>
        <charset val="128"/>
        <scheme val="minor"/>
      </rPr>
      <t>所得</t>
    </r>
    <r>
      <rPr>
        <sz val="11"/>
        <color rgb="FFFF0000"/>
        <rFont val="游ゴシック"/>
        <family val="3"/>
        <charset val="128"/>
        <scheme val="minor"/>
      </rPr>
      <t xml:space="preserve"> b</t>
    </r>
    <rPh sb="0" eb="2">
      <t>ネンキン</t>
    </rPh>
    <rPh sb="2" eb="4">
      <t>ショトク</t>
    </rPh>
    <phoneticPr fontId="4"/>
  </si>
  <si>
    <r>
      <t>その他</t>
    </r>
    <r>
      <rPr>
        <b/>
        <sz val="11"/>
        <color rgb="FFFF0000"/>
        <rFont val="游ゴシック"/>
        <family val="3"/>
        <charset val="128"/>
        <scheme val="minor"/>
      </rPr>
      <t>所得</t>
    </r>
    <r>
      <rPr>
        <sz val="11"/>
        <color rgb="FFFF0000"/>
        <rFont val="游ゴシック"/>
        <family val="3"/>
        <charset val="128"/>
        <scheme val="minor"/>
      </rPr>
      <t xml:space="preserve"> c</t>
    </r>
    <rPh sb="2" eb="3">
      <t>タ</t>
    </rPh>
    <rPh sb="3" eb="5">
      <t>ショトク</t>
    </rPh>
    <phoneticPr fontId="4"/>
  </si>
  <si>
    <r>
      <t>合計</t>
    </r>
    <r>
      <rPr>
        <b/>
        <sz val="11"/>
        <color rgb="FFFF0000"/>
        <rFont val="游ゴシック"/>
        <family val="3"/>
        <charset val="128"/>
        <scheme val="minor"/>
      </rPr>
      <t>所得</t>
    </r>
    <r>
      <rPr>
        <sz val="11"/>
        <color rgb="FFFF0000"/>
        <rFont val="游ゴシック"/>
        <family val="3"/>
        <charset val="128"/>
        <scheme val="minor"/>
      </rPr>
      <t>(a+b+c)</t>
    </r>
    <rPh sb="0" eb="2">
      <t>ゴウケイ</t>
    </rPh>
    <rPh sb="2" eb="4">
      <t>ショトク</t>
    </rPh>
    <phoneticPr fontId="4"/>
  </si>
  <si>
    <r>
      <t>→次のページもご参照ください。</t>
    </r>
    <r>
      <rPr>
        <sz val="9"/>
        <color rgb="FFC00000"/>
        <rFont val="ＭＳ ゴシック"/>
        <family val="3"/>
        <charset val="128"/>
      </rPr>
      <t>https://www.city.tama.lg.jp/kurashi/kokuho/hokenzei/1002019.html</t>
    </r>
    <rPh sb="1" eb="2">
      <t>ツギ</t>
    </rPh>
    <rPh sb="8" eb="10">
      <t>サンショウ</t>
    </rPh>
    <phoneticPr fontId="3"/>
  </si>
  <si>
    <t>このシート下方の制限事項もご確認ください。</t>
    <rPh sb="5" eb="7">
      <t>カホウ</t>
    </rPh>
    <rPh sb="8" eb="10">
      <t>セイゲン</t>
    </rPh>
    <rPh sb="10" eb="12">
      <t>ジコウ</t>
    </rPh>
    <rPh sb="14" eb="16">
      <t>カクニン</t>
    </rPh>
    <phoneticPr fontId="3"/>
  </si>
  <si>
    <t>介護分開始対象（40歳到達）か？</t>
    <rPh sb="0" eb="2">
      <t>カイゴ</t>
    </rPh>
    <rPh sb="2" eb="3">
      <t>ブン</t>
    </rPh>
    <rPh sb="3" eb="5">
      <t>カイシ</t>
    </rPh>
    <rPh sb="5" eb="7">
      <t>タイショウ</t>
    </rPh>
    <rPh sb="10" eb="11">
      <t>サイ</t>
    </rPh>
    <rPh sb="11" eb="13">
      <t>トウタツ</t>
    </rPh>
    <phoneticPr fontId="3"/>
  </si>
  <si>
    <t>←世帯主が国保加入するなら「する」、世帯主が国保加入しないなら「しない」を選んでください。</t>
    <phoneticPr fontId="3"/>
  </si>
  <si>
    <t>自動計算できるのは、1年分の税額です。年度途中の加入や脱退は自動計算できません。</t>
    <rPh sb="0" eb="2">
      <t>ジドウ</t>
    </rPh>
    <rPh sb="2" eb="4">
      <t>ケイサン</t>
    </rPh>
    <rPh sb="11" eb="13">
      <t>ネンブン</t>
    </rPh>
    <rPh sb="14" eb="16">
      <t>ゼイガク</t>
    </rPh>
    <rPh sb="19" eb="21">
      <t>ネンド</t>
    </rPh>
    <rPh sb="21" eb="23">
      <t>トチュウ</t>
    </rPh>
    <rPh sb="24" eb="26">
      <t>カニュウ</t>
    </rPh>
    <rPh sb="27" eb="29">
      <t>ダッタイ</t>
    </rPh>
    <rPh sb="30" eb="32">
      <t>ジドウ</t>
    </rPh>
    <rPh sb="32" eb="34">
      <t>ケイサン</t>
    </rPh>
    <phoneticPr fontId="3"/>
  </si>
  <si>
    <r>
      <t>←こちらに給与</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キュウヨ</t>
    </rPh>
    <rPh sb="7" eb="9">
      <t>ショトク</t>
    </rPh>
    <rPh sb="12" eb="14">
      <t>ニュウリョク</t>
    </rPh>
    <rPh sb="22" eb="23">
      <t>ギョウ</t>
    </rPh>
    <rPh sb="24" eb="26">
      <t>チョクセツ</t>
    </rPh>
    <rPh sb="26" eb="28">
      <t>ニュウリョク</t>
    </rPh>
    <rPh sb="30" eb="32">
      <t>ユウセン</t>
    </rPh>
    <phoneticPr fontId="3"/>
  </si>
  <si>
    <r>
      <t>←こちらに年金</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ネンキン</t>
    </rPh>
    <rPh sb="7" eb="9">
      <t>ショトク</t>
    </rPh>
    <rPh sb="12" eb="14">
      <t>ニュウリョク</t>
    </rPh>
    <rPh sb="22" eb="23">
      <t>ギョウ</t>
    </rPh>
    <rPh sb="24" eb="28">
      <t>チョクセツニュウリョク</t>
    </rPh>
    <rPh sb="30" eb="32">
      <t>ユウセン</t>
    </rPh>
    <phoneticPr fontId="3"/>
  </si>
  <si>
    <t>所得分</t>
    <rPh sb="0" eb="3">
      <t>ショトクブン</t>
    </rPh>
    <phoneticPr fontId="3"/>
  </si>
  <si>
    <t>軽減分</t>
    <rPh sb="0" eb="3">
      <t>ケイゲンブン</t>
    </rPh>
    <phoneticPr fontId="3"/>
  </si>
  <si>
    <t>調整控除額(*)</t>
    <rPh sb="0" eb="2">
      <t>チョウセイ</t>
    </rPh>
    <rPh sb="2" eb="4">
      <t>コウジョ</t>
    </rPh>
    <rPh sb="4" eb="5">
      <t>ガク</t>
    </rPh>
    <phoneticPr fontId="3"/>
  </si>
  <si>
    <t>(*)所得金額調整控除は、給与所得と年金所得がある場合のみの対応です。特別障害者や扶養親族が含まれる場合の調整控除は対応できません。</t>
    <rPh sb="3" eb="5">
      <t>ショトク</t>
    </rPh>
    <rPh sb="5" eb="7">
      <t>キンガク</t>
    </rPh>
    <rPh sb="7" eb="9">
      <t>チョウセイ</t>
    </rPh>
    <rPh sb="9" eb="11">
      <t>コウジョ</t>
    </rPh>
    <rPh sb="13" eb="15">
      <t>キュウヨ</t>
    </rPh>
    <rPh sb="15" eb="17">
      <t>ショトク</t>
    </rPh>
    <rPh sb="18" eb="20">
      <t>ネンキン</t>
    </rPh>
    <rPh sb="20" eb="22">
      <t>ショトク</t>
    </rPh>
    <rPh sb="25" eb="27">
      <t>バアイ</t>
    </rPh>
    <rPh sb="30" eb="32">
      <t>タイオウ</t>
    </rPh>
    <rPh sb="35" eb="37">
      <t>トクベツ</t>
    </rPh>
    <rPh sb="37" eb="40">
      <t>ショウガイシャ</t>
    </rPh>
    <rPh sb="41" eb="43">
      <t>フヨウ</t>
    </rPh>
    <rPh sb="43" eb="45">
      <t>シンゾク</t>
    </rPh>
    <rPh sb="46" eb="47">
      <t>フク</t>
    </rPh>
    <rPh sb="50" eb="52">
      <t>バアイ</t>
    </rPh>
    <rPh sb="53" eb="55">
      <t>チョウセイ</t>
    </rPh>
    <rPh sb="55" eb="57">
      <t>コウジョ</t>
    </rPh>
    <rPh sb="58" eb="60">
      <t>タイオウ</t>
    </rPh>
    <phoneticPr fontId="4"/>
  </si>
  <si>
    <t>所得分</t>
    <rPh sb="0" eb="3">
      <t>ショトクブン</t>
    </rPh>
    <phoneticPr fontId="4"/>
  </si>
  <si>
    <t>軽減分</t>
    <rPh sb="0" eb="3">
      <t>ケイゲンブン</t>
    </rPh>
    <phoneticPr fontId="4"/>
  </si>
  <si>
    <t>離職・調整控除後所得</t>
    <rPh sb="0" eb="2">
      <t>リショク</t>
    </rPh>
    <rPh sb="3" eb="8">
      <t>チョウセイコウジョゴ</t>
    </rPh>
    <rPh sb="8" eb="10">
      <t>ショトク</t>
    </rPh>
    <phoneticPr fontId="3"/>
  </si>
  <si>
    <t>後期税率</t>
    <rPh sb="0" eb="2">
      <t>コウキ</t>
    </rPh>
    <rPh sb="2" eb="4">
      <t>ゼイリツ</t>
    </rPh>
    <phoneticPr fontId="2"/>
  </si>
  <si>
    <t>後期均等</t>
    <rPh sb="0" eb="2">
      <t>コウキ</t>
    </rPh>
    <rPh sb="2" eb="4">
      <t>キントウ</t>
    </rPh>
    <phoneticPr fontId="2"/>
  </si>
  <si>
    <t>子ども税率</t>
    <rPh sb="0" eb="1">
      <t>コ</t>
    </rPh>
    <rPh sb="3" eb="5">
      <t>ゼイリツ</t>
    </rPh>
    <phoneticPr fontId="3"/>
  </si>
  <si>
    <t>子ども均等</t>
    <rPh sb="0" eb="1">
      <t>コ</t>
    </rPh>
    <rPh sb="3" eb="5">
      <t>キントウ</t>
    </rPh>
    <phoneticPr fontId="3"/>
  </si>
  <si>
    <t>18歳子ども免税</t>
    <rPh sb="2" eb="3">
      <t>サイ</t>
    </rPh>
    <rPh sb="3" eb="4">
      <t>コ</t>
    </rPh>
    <rPh sb="6" eb="8">
      <t>メンゼイ</t>
    </rPh>
    <phoneticPr fontId="3"/>
  </si>
  <si>
    <t>子ども限度</t>
    <rPh sb="0" eb="1">
      <t>コ</t>
    </rPh>
    <rPh sb="3" eb="5">
      <t>ゲンド</t>
    </rPh>
    <phoneticPr fontId="3"/>
  </si>
  <si>
    <t>後期分</t>
    <rPh sb="0" eb="2">
      <t>コウキ</t>
    </rPh>
    <rPh sb="2" eb="3">
      <t>ブン</t>
    </rPh>
    <phoneticPr fontId="4"/>
  </si>
  <si>
    <t>子ども分</t>
    <rPh sb="0" eb="1">
      <t>コ</t>
    </rPh>
    <rPh sb="3" eb="4">
      <t>ブン</t>
    </rPh>
    <phoneticPr fontId="4"/>
  </si>
  <si>
    <t>所得割税率</t>
    <rPh sb="0" eb="2">
      <t>ショトク</t>
    </rPh>
    <rPh sb="2" eb="3">
      <t>ワリ</t>
    </rPh>
    <rPh sb="3" eb="4">
      <t>ゼイ</t>
    </rPh>
    <rPh sb="4" eb="5">
      <t>リツ</t>
    </rPh>
    <phoneticPr fontId="3"/>
  </si>
  <si>
    <t>均等割税額</t>
    <rPh sb="0" eb="3">
      <t>キントウワリ</t>
    </rPh>
    <rPh sb="3" eb="5">
      <t>ゼイガク</t>
    </rPh>
    <phoneticPr fontId="3"/>
  </si>
  <si>
    <t>※18歳を迎えた年度末まで免除</t>
    <rPh sb="3" eb="4">
      <t>サイ</t>
    </rPh>
    <rPh sb="5" eb="6">
      <t>ムカ</t>
    </rPh>
    <rPh sb="8" eb="11">
      <t>ネンドマツ</t>
    </rPh>
    <rPh sb="13" eb="15">
      <t>メンジョ</t>
    </rPh>
    <phoneticPr fontId="3"/>
  </si>
  <si>
    <t>子ども支援金軽減対象か？</t>
    <rPh sb="0" eb="1">
      <t>コ</t>
    </rPh>
    <rPh sb="3" eb="6">
      <t>シエンキン</t>
    </rPh>
    <rPh sb="6" eb="8">
      <t>ケイゲン</t>
    </rPh>
    <rPh sb="8" eb="10">
      <t>タイショウ</t>
    </rPh>
    <phoneticPr fontId="3"/>
  </si>
  <si>
    <t>未就学児軽減</t>
    <rPh sb="0" eb="4">
      <t>ミシュウガクジ</t>
    </rPh>
    <rPh sb="4" eb="6">
      <t>ケイゲン</t>
    </rPh>
    <phoneticPr fontId="3"/>
  </si>
  <si>
    <t>子ども支援金軽減</t>
    <rPh sb="0" eb="1">
      <t>コ</t>
    </rPh>
    <rPh sb="3" eb="6">
      <t>シエンキン</t>
    </rPh>
    <rPh sb="6" eb="8">
      <t>ケイゲン</t>
    </rPh>
    <phoneticPr fontId="3"/>
  </si>
  <si>
    <t>加入している月＝「〇」
※介護分は月末時点で40～64歳の方
※子ども分は年度末時点で18歳を超える方</t>
    <rPh sb="0" eb="2">
      <t>カニュウ</t>
    </rPh>
    <rPh sb="6" eb="7">
      <t>ツキ</t>
    </rPh>
    <rPh sb="13" eb="15">
      <t>カイゴ</t>
    </rPh>
    <rPh sb="15" eb="16">
      <t>ブン</t>
    </rPh>
    <rPh sb="17" eb="19">
      <t>ゲツマツ</t>
    </rPh>
    <rPh sb="19" eb="21">
      <t>ジテン</t>
    </rPh>
    <rPh sb="27" eb="28">
      <t>サイ</t>
    </rPh>
    <rPh sb="29" eb="30">
      <t>カタ</t>
    </rPh>
    <rPh sb="32" eb="33">
      <t>コ</t>
    </rPh>
    <rPh sb="35" eb="36">
      <t>ブン</t>
    </rPh>
    <rPh sb="37" eb="39">
      <t>ネンド</t>
    </rPh>
    <rPh sb="39" eb="40">
      <t>マツ</t>
    </rPh>
    <rPh sb="40" eb="42">
      <t>ジテン</t>
    </rPh>
    <rPh sb="45" eb="46">
      <t>サイ</t>
    </rPh>
    <rPh sb="47" eb="48">
      <t>コサイイジョウカタ</t>
    </rPh>
    <phoneticPr fontId="3"/>
  </si>
  <si>
    <t>令和４～８年度の限度額・軽減判定額に対応しました。</t>
    <rPh sb="0" eb="1">
      <t>レイ</t>
    </rPh>
    <rPh sb="1" eb="2">
      <t>ワ</t>
    </rPh>
    <rPh sb="5" eb="7">
      <t>ネンド</t>
    </rPh>
    <rPh sb="8" eb="10">
      <t>ゲンド</t>
    </rPh>
    <rPh sb="10" eb="11">
      <t>ガク</t>
    </rPh>
    <rPh sb="12" eb="14">
      <t>ケイゲン</t>
    </rPh>
    <rPh sb="14" eb="16">
      <t>ハンテイ</t>
    </rPh>
    <rPh sb="16" eb="17">
      <t>ガク</t>
    </rPh>
    <rPh sb="18" eb="20">
      <t>タイオウ</t>
    </rPh>
    <phoneticPr fontId="4"/>
  </si>
  <si>
    <t>子ども・子育て支援金分に対応しました。</t>
    <rPh sb="0" eb="1">
      <t>コ</t>
    </rPh>
    <rPh sb="4" eb="6">
      <t>コソダ</t>
    </rPh>
    <rPh sb="7" eb="11">
      <t>シエンキンブン</t>
    </rPh>
    <rPh sb="12" eb="14">
      <t>タイオウ</t>
    </rPh>
    <phoneticPr fontId="3"/>
  </si>
  <si>
    <t>令和８年度の税制改正（令和７年中の給与所得控除）に対応しました。</t>
    <rPh sb="0" eb="2">
      <t>レイワ</t>
    </rPh>
    <rPh sb="3" eb="5">
      <t>ネンド</t>
    </rPh>
    <rPh sb="6" eb="10">
      <t>ゼイセイカイセイ</t>
    </rPh>
    <rPh sb="11" eb="13">
      <t>レイワ</t>
    </rPh>
    <rPh sb="14" eb="16">
      <t>ネンチュウ</t>
    </rPh>
    <rPh sb="17" eb="23">
      <t>キュウヨショトクコウジョ</t>
    </rPh>
    <rPh sb="25" eb="27">
      <t>タイオウ</t>
    </rPh>
    <phoneticPr fontId="3"/>
  </si>
  <si>
    <t>多摩市独自の減免制度には対応しておりません。</t>
    <rPh sb="0" eb="5">
      <t>タマシドクジ</t>
    </rPh>
    <rPh sb="6" eb="10">
      <t>ゲンメンセイド</t>
    </rPh>
    <rPh sb="12" eb="14">
      <t>タイオウ</t>
    </rPh>
    <phoneticPr fontId="3"/>
  </si>
  <si>
    <t>令和8年度の未就学児軽減割合</t>
  </si>
  <si>
    <t>令和8年度の子ども支援金軽減割合</t>
    <phoneticPr fontId="4"/>
  </si>
  <si>
    <t>多摩市独自の未就学児減免で均等割が減免されます。</t>
    <rPh sb="0" eb="3">
      <t>タマシ</t>
    </rPh>
    <rPh sb="3" eb="5">
      <t>ドクジ</t>
    </rPh>
    <rPh sb="6" eb="12">
      <t>ミシュウガクジゲンメン</t>
    </rPh>
    <rPh sb="13" eb="16">
      <t>キントウワリ</t>
    </rPh>
    <rPh sb="17" eb="19">
      <t>ゲンメン</t>
    </rPh>
    <phoneticPr fontId="4"/>
  </si>
  <si>
    <t>（令和８年度から）</t>
    <rPh sb="1" eb="3">
      <t>レイワ</t>
    </rPh>
    <rPh sb="4" eb="6">
      <t>ネンド</t>
    </rPh>
    <phoneticPr fontId="4"/>
  </si>
  <si>
    <t>18歳を迎えてから最初の3月31日までは、</t>
    <rPh sb="2" eb="3">
      <t>サイ</t>
    </rPh>
    <rPh sb="4" eb="5">
      <t>ムカ</t>
    </rPh>
    <rPh sb="9" eb="11">
      <t>サイショ</t>
    </rPh>
    <rPh sb="13" eb="14">
      <t>ガツ</t>
    </rPh>
    <rPh sb="16" eb="17">
      <t>ニチ</t>
    </rPh>
    <phoneticPr fontId="4"/>
  </si>
  <si>
    <t>子ども支援金が全額軽減されます。</t>
    <rPh sb="0" eb="1">
      <t>コ</t>
    </rPh>
    <rPh sb="3" eb="6">
      <t>シエンキン</t>
    </rPh>
    <rPh sb="7" eb="11">
      <t>ゼンガクケイゲン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</si>
</sst>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e\.m\.d;@"/>
    <numFmt numFmtId="177" formatCode="#,##0_);[Red]\(#,##0\)"/>
    <numFmt numFmtId="178" formatCode="#,##0_ "/>
    <numFmt numFmtId="179" formatCode="#&quot;割&quot;;;&quot;なし&quot;"/>
    <numFmt numFmtId="180" formatCode="&quot;年税額合計: &quot;#,##0;[Red]\-#,##0"/>
    <numFmt numFmtId="181" formatCode="0_ &quot;ヶ月&quot;;;&quot;なし&quot;"/>
    <numFmt numFmtId="182" formatCode="[$-411]ggge&quot;年&quot;m&quot;月&quot;d&quot;日&quot;;;"/>
    <numFmt numFmtId="183" formatCode="0_ &quot;年度&quot;"/>
    <numFmt numFmtId="184" formatCode="&quot;/ &quot;0_ "/>
    <numFmt numFmtId="185" formatCode="[$-411]ggge&quot;年&quot;m&quot;月&quot;d&quot;日&quot;;@"/>
    <numFmt numFmtId="186" formatCode="0_ &quot;回目&quot;"/>
    <numFmt numFmtId="187" formatCode="#&quot;月&quot;"/>
    <numFmt numFmtId="188" formatCode="#,##0;[Red]\-#,##0;"/>
    <numFmt numFmtId="189" formatCode="#,##0;\-#,##0;"/>
    <numFmt numFmtId="190" formatCode="m&quot;月&quot;d&quot;日&quot;;@"/>
    <numFmt numFmtId="191" formatCode="&quot;●&quot;@"/>
  </numFmts>
  <fonts count="58">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9"/>
      <color rgb="FFFF0000"/>
      <name val="ＭＳ Ｐゴシック"/>
      <family val="3"/>
      <charset val="128"/>
    </font>
    <font>
      <b/>
      <sz val="11"/>
      <color indexed="8"/>
      <name val="ＭＳ Ｐゴシック"/>
      <family val="3"/>
      <charset val="128"/>
    </font>
    <font>
      <sz val="9"/>
      <name val="ＭＳ Ｐゴシック"/>
      <family val="3"/>
      <charset val="128"/>
    </font>
    <font>
      <sz val="11"/>
      <name val="ＭＳ Ｐゴシック"/>
      <family val="3"/>
      <charset val="128"/>
    </font>
    <font>
      <sz val="9"/>
      <color theme="1"/>
      <name val="ＭＳ Ｐゴシック"/>
      <family val="3"/>
      <charset val="128"/>
    </font>
    <font>
      <sz val="10"/>
      <name val="ＭＳ Ｐゴシック"/>
      <family val="3"/>
      <charset val="128"/>
    </font>
    <font>
      <b/>
      <sz val="12"/>
      <name val="ＭＳ Ｐゴシック"/>
      <family val="3"/>
      <charset val="128"/>
    </font>
    <font>
      <sz val="11"/>
      <color rgb="FFFF0000"/>
      <name val="游ゴシック"/>
      <family val="3"/>
      <charset val="128"/>
      <scheme val="minor"/>
    </font>
    <font>
      <b/>
      <sz val="11"/>
      <color theme="1"/>
      <name val="游ゴシック"/>
      <family val="3"/>
      <charset val="128"/>
      <scheme val="minor"/>
    </font>
    <font>
      <sz val="9"/>
      <color rgb="FFFF0000"/>
      <name val="ＭＳ Ｐゴシック"/>
      <family val="3"/>
      <charset val="128"/>
    </font>
    <font>
      <b/>
      <sz val="11"/>
      <color rgb="FFFF0000"/>
      <name val="游ゴシック"/>
      <family val="3"/>
      <charset val="128"/>
      <scheme val="minor"/>
    </font>
    <font>
      <sz val="8"/>
      <color theme="5" tint="-0.249977111117893"/>
      <name val="游ゴシック"/>
      <family val="3"/>
      <charset val="128"/>
      <scheme val="minor"/>
    </font>
    <font>
      <sz val="1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b/>
      <sz val="20"/>
      <color rgb="FFFF0000"/>
      <name val="游ゴシック"/>
      <family val="3"/>
      <charset val="128"/>
      <scheme val="minor"/>
    </font>
    <font>
      <sz val="9"/>
      <color theme="1"/>
      <name val="游ゴシック"/>
      <family val="3"/>
      <charset val="128"/>
      <scheme val="minor"/>
    </font>
    <font>
      <b/>
      <sz val="11"/>
      <color theme="0"/>
      <name val="游ゴシック"/>
      <family val="3"/>
      <charset val="128"/>
      <scheme val="minor"/>
    </font>
    <font>
      <b/>
      <sz val="11"/>
      <color theme="0"/>
      <name val="ＭＳ Ｐゴシック"/>
      <family val="3"/>
      <charset val="128"/>
    </font>
    <font>
      <b/>
      <sz val="11"/>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4"/>
      <name val="ＭＳ ゴシック"/>
      <family val="3"/>
      <charset val="128"/>
    </font>
    <font>
      <b/>
      <sz val="11"/>
      <color rgb="FFFF0000"/>
      <name val="ＭＳ ゴシック"/>
      <family val="3"/>
      <charset val="128"/>
    </font>
    <font>
      <sz val="11"/>
      <color theme="1"/>
      <name val="ＭＳ ゴシック"/>
      <family val="3"/>
      <charset val="128"/>
    </font>
    <font>
      <b/>
      <sz val="11"/>
      <color indexed="8"/>
      <name val="ＭＳ ゴシック"/>
      <family val="3"/>
      <charset val="128"/>
    </font>
    <font>
      <b/>
      <sz val="9"/>
      <name val="ＭＳ ゴシック"/>
      <family val="3"/>
      <charset val="128"/>
    </font>
    <font>
      <sz val="11"/>
      <color rgb="FFFF0000"/>
      <name val="ＭＳ ゴシック"/>
      <family val="3"/>
      <charset val="128"/>
    </font>
    <font>
      <sz val="11"/>
      <name val="ＭＳ ゴシック"/>
      <family val="3"/>
      <charset val="128"/>
    </font>
    <font>
      <sz val="8"/>
      <color theme="5" tint="-0.249977111117893"/>
      <name val="ＭＳ ゴシック"/>
      <family val="3"/>
      <charset val="128"/>
    </font>
    <font>
      <sz val="9"/>
      <name val="ＭＳ ゴシック"/>
      <family val="3"/>
      <charset val="128"/>
    </font>
    <font>
      <b/>
      <sz val="11"/>
      <color rgb="FFC00000"/>
      <name val="ＭＳ ゴシック"/>
      <family val="3"/>
      <charset val="128"/>
    </font>
    <font>
      <sz val="24"/>
      <color theme="1"/>
      <name val="ＭＳ ゴシック"/>
      <family val="3"/>
      <charset val="128"/>
    </font>
    <font>
      <sz val="6"/>
      <color theme="1"/>
      <name val="游ゴシック"/>
      <family val="2"/>
      <charset val="128"/>
      <scheme val="minor"/>
    </font>
    <font>
      <sz val="6"/>
      <color theme="1"/>
      <name val="游ゴシック"/>
      <family val="3"/>
      <charset val="128"/>
      <scheme val="minor"/>
    </font>
    <font>
      <sz val="11"/>
      <color rgb="FFFF0000"/>
      <name val="ＭＳ Ｐゴシック"/>
      <family val="3"/>
      <charset val="128"/>
    </font>
    <font>
      <sz val="11"/>
      <color rgb="FF0070C0"/>
      <name val="ＭＳ Ｐゴシック"/>
      <family val="3"/>
      <charset val="128"/>
    </font>
    <font>
      <sz val="11"/>
      <color rgb="FF0070C0"/>
      <name val="游ゴシック"/>
      <family val="2"/>
      <charset val="128"/>
      <scheme val="minor"/>
    </font>
    <font>
      <sz val="10"/>
      <color theme="1"/>
      <name val="游ゴシック"/>
      <family val="2"/>
      <charset val="128"/>
      <scheme val="minor"/>
    </font>
    <font>
      <b/>
      <sz val="9"/>
      <color rgb="FFFF0000"/>
      <name val="ＭＳ ゴシック"/>
      <family val="3"/>
      <charset val="128"/>
    </font>
    <font>
      <b/>
      <sz val="9"/>
      <color rgb="FF00B050"/>
      <name val="ＭＳ Ｐゴシック"/>
      <family val="3"/>
      <charset val="128"/>
    </font>
    <font>
      <b/>
      <sz val="11"/>
      <color rgb="FF00B050"/>
      <name val="游ゴシック"/>
      <family val="3"/>
      <charset val="128"/>
      <scheme val="minor"/>
    </font>
    <font>
      <sz val="9"/>
      <color theme="1"/>
      <name val="ＭＳ ゴシック"/>
      <family val="3"/>
      <charset val="128"/>
    </font>
    <font>
      <sz val="9"/>
      <color rgb="FFC00000"/>
      <name val="ＭＳ ゴシック"/>
      <family val="3"/>
      <charset val="128"/>
    </font>
    <font>
      <sz val="11"/>
      <name val="游ゴシック"/>
      <family val="2"/>
      <charset val="128"/>
      <scheme val="minor"/>
    </font>
    <font>
      <b/>
      <sz val="9"/>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0000"/>
        <bgColor indexed="64"/>
      </patternFill>
    </fill>
  </fills>
  <borders count="113">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style="hair">
        <color indexed="64"/>
      </top>
      <bottom style="medium">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00B0F0"/>
      </left>
      <right/>
      <top style="thick">
        <color rgb="FF00B0F0"/>
      </top>
      <bottom style="thick">
        <color rgb="FFFF0000"/>
      </bottom>
      <diagonal/>
    </border>
    <border>
      <left/>
      <right/>
      <top style="thick">
        <color rgb="FF00B0F0"/>
      </top>
      <bottom style="thick">
        <color rgb="FFFF0000"/>
      </bottom>
      <diagonal/>
    </border>
    <border>
      <left/>
      <right style="thick">
        <color rgb="FF00B0F0"/>
      </right>
      <top style="thick">
        <color rgb="FF00B0F0"/>
      </top>
      <bottom style="thick">
        <color rgb="FFFF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ck">
        <color auto="1"/>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ck">
        <color auto="1"/>
      </right>
      <top/>
      <bottom/>
      <diagonal/>
    </border>
    <border>
      <left style="thick">
        <color auto="1"/>
      </left>
      <right/>
      <top/>
      <bottom style="thick">
        <color auto="1"/>
      </bottom>
      <diagonal/>
    </border>
    <border>
      <left/>
      <right/>
      <top style="medium">
        <color indexed="64"/>
      </top>
      <bottom style="thick">
        <color auto="1"/>
      </bottom>
      <diagonal/>
    </border>
    <border>
      <left/>
      <right style="thick">
        <color auto="1"/>
      </right>
      <top style="medium">
        <color indexed="64"/>
      </top>
      <bottom style="thick">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pplyProtection="1">
      <alignment vertical="center" shrinkToFit="1"/>
      <protection hidden="1"/>
    </xf>
    <xf numFmtId="0" fontId="0" fillId="0" borderId="0" xfId="0" applyAlignment="1" applyProtection="1">
      <alignment horizontal="center" vertical="center" shrinkToFit="1"/>
      <protection hidden="1"/>
    </xf>
    <xf numFmtId="176" fontId="0" fillId="0" borderId="0" xfId="0" applyNumberFormat="1" applyAlignment="1" applyProtection="1">
      <alignment vertical="center" shrinkToFit="1"/>
      <protection hidden="1"/>
    </xf>
    <xf numFmtId="38" fontId="0" fillId="0" borderId="6" xfId="1" applyFont="1" applyFill="1" applyBorder="1" applyAlignment="1" applyProtection="1">
      <alignment vertical="center" shrinkToFit="1"/>
      <protection hidden="1"/>
    </xf>
    <xf numFmtId="0" fontId="6" fillId="0" borderId="0" xfId="0" applyFont="1" applyAlignment="1" applyProtection="1">
      <alignment vertical="center" shrinkToFit="1"/>
      <protection hidden="1"/>
    </xf>
    <xf numFmtId="38" fontId="0" fillId="0" borderId="0" xfId="1" applyFont="1" applyAlignment="1" applyProtection="1">
      <alignment vertical="center" shrinkToFit="1"/>
      <protection hidden="1"/>
    </xf>
    <xf numFmtId="38" fontId="0" fillId="0" borderId="6" xfId="1" applyFont="1" applyBorder="1" applyAlignment="1" applyProtection="1">
      <alignment vertical="center" shrinkToFit="1"/>
      <protection hidden="1"/>
    </xf>
    <xf numFmtId="38" fontId="0" fillId="0" borderId="0" xfId="1" applyFont="1" applyFill="1" applyAlignment="1" applyProtection="1">
      <alignment vertical="center" shrinkToFit="1"/>
      <protection hidden="1"/>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23" xfId="0" applyBorder="1">
      <alignment vertical="center"/>
    </xf>
    <xf numFmtId="0" fontId="0" fillId="0" borderId="26" xfId="0" applyBorder="1">
      <alignment vertical="center"/>
    </xf>
    <xf numFmtId="0" fontId="0" fillId="0" borderId="0" xfId="0" applyAlignment="1">
      <alignment horizontal="center" vertical="center"/>
    </xf>
    <xf numFmtId="0" fontId="18" fillId="2" borderId="6" xfId="0" applyFont="1" applyFill="1" applyBorder="1" applyAlignment="1" applyProtection="1">
      <alignment horizontal="center" vertical="center"/>
      <protection locked="0"/>
    </xf>
    <xf numFmtId="38" fontId="11" fillId="0" borderId="6" xfId="1" applyFont="1" applyFill="1" applyBorder="1" applyAlignment="1">
      <alignment horizontal="center" vertical="center"/>
    </xf>
    <xf numFmtId="38" fontId="11" fillId="0" borderId="30" xfId="1" applyFont="1" applyFill="1" applyBorder="1" applyAlignment="1">
      <alignment horizontal="center" vertical="center"/>
    </xf>
    <xf numFmtId="0" fontId="0" fillId="0" borderId="29" xfId="0" applyBorder="1" applyAlignment="1">
      <alignment vertical="center" shrinkToFit="1"/>
    </xf>
    <xf numFmtId="10" fontId="11" fillId="0" borderId="6" xfId="2" applyNumberFormat="1" applyFont="1" applyFill="1" applyBorder="1" applyAlignment="1">
      <alignment horizontal="center" vertical="center"/>
    </xf>
    <xf numFmtId="0" fontId="11" fillId="0" borderId="19" xfId="0" applyFont="1" applyBorder="1">
      <alignment vertical="center"/>
    </xf>
    <xf numFmtId="0" fontId="0" fillId="0" borderId="29" xfId="0" applyBorder="1" applyAlignment="1">
      <alignment horizontal="center" vertical="center" shrinkToFit="1"/>
    </xf>
    <xf numFmtId="0" fontId="0" fillId="0" borderId="23" xfId="0" applyBorder="1" applyAlignment="1">
      <alignment horizontal="center" vertical="center"/>
    </xf>
    <xf numFmtId="180" fontId="18" fillId="0" borderId="13" xfId="0" applyNumberFormat="1" applyFont="1" applyBorder="1" applyAlignment="1">
      <alignment horizontal="righ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25" xfId="0" applyBorder="1" applyAlignment="1">
      <alignment horizontal="center" vertical="center" shrinkToFit="1"/>
    </xf>
    <xf numFmtId="0" fontId="0" fillId="0" borderId="53" xfId="0" applyBorder="1" applyAlignment="1">
      <alignment horizontal="center" vertical="center"/>
    </xf>
    <xf numFmtId="0" fontId="20" fillId="0" borderId="5" xfId="0" applyFont="1" applyBorder="1" applyAlignment="1">
      <alignment horizontal="center" vertical="center"/>
    </xf>
    <xf numFmtId="0" fontId="21" fillId="0" borderId="4" xfId="0" applyFont="1" applyBorder="1" applyAlignment="1">
      <alignment horizontal="center" vertical="center"/>
    </xf>
    <xf numFmtId="0" fontId="0" fillId="0" borderId="52" xfId="0" applyBorder="1" applyAlignment="1">
      <alignment horizontal="center" vertical="center" shrinkToFit="1"/>
    </xf>
    <xf numFmtId="0" fontId="0" fillId="0" borderId="55" xfId="0" applyBorder="1" applyAlignment="1">
      <alignment horizontal="center" vertical="center"/>
    </xf>
    <xf numFmtId="38" fontId="0" fillId="0" borderId="56" xfId="0" applyNumberFormat="1" applyBorder="1">
      <alignment vertical="center"/>
    </xf>
    <xf numFmtId="0" fontId="0" fillId="0" borderId="59" xfId="0" applyBorder="1" applyAlignment="1">
      <alignment horizontal="center" vertical="center"/>
    </xf>
    <xf numFmtId="38" fontId="0" fillId="0" borderId="60" xfId="0" applyNumberFormat="1" applyBorder="1">
      <alignment vertical="center"/>
    </xf>
    <xf numFmtId="0" fontId="0" fillId="0" borderId="63" xfId="0" applyBorder="1" applyAlignment="1">
      <alignment horizontal="center" vertical="center"/>
    </xf>
    <xf numFmtId="38" fontId="0" fillId="0" borderId="64" xfId="0" applyNumberFormat="1" applyBorder="1">
      <alignment vertical="center"/>
    </xf>
    <xf numFmtId="181" fontId="0" fillId="0" borderId="58" xfId="0" applyNumberFormat="1" applyBorder="1" applyAlignment="1">
      <alignment horizontal="center" vertical="center"/>
    </xf>
    <xf numFmtId="181" fontId="0" fillId="0" borderId="62" xfId="0" applyNumberFormat="1" applyBorder="1" applyAlignment="1">
      <alignment horizontal="center" vertical="center"/>
    </xf>
    <xf numFmtId="181" fontId="0" fillId="0" borderId="65" xfId="0" applyNumberFormat="1" applyBorder="1" applyAlignment="1">
      <alignment horizontal="center" vertical="center"/>
    </xf>
    <xf numFmtId="0" fontId="25" fillId="0" borderId="0" xfId="0" applyFont="1">
      <alignment vertical="center"/>
    </xf>
    <xf numFmtId="0" fontId="23" fillId="0" borderId="0" xfId="0" applyFont="1">
      <alignment vertical="center"/>
    </xf>
    <xf numFmtId="183" fontId="0" fillId="0" borderId="0" xfId="0" applyNumberFormat="1" applyAlignment="1" applyProtection="1">
      <alignment vertical="center" shrinkToFit="1"/>
      <protection hidden="1"/>
    </xf>
    <xf numFmtId="38" fontId="0" fillId="0" borderId="0" xfId="0" applyNumberFormat="1" applyAlignment="1" applyProtection="1">
      <alignment vertical="center" shrinkToFit="1"/>
      <protection hidden="1"/>
    </xf>
    <xf numFmtId="184" fontId="0" fillId="0" borderId="0" xfId="0" applyNumberFormat="1" applyAlignment="1" applyProtection="1">
      <alignment horizontal="left" vertical="center" shrinkToFit="1"/>
      <protection hidden="1"/>
    </xf>
    <xf numFmtId="185" fontId="0" fillId="0" borderId="0" xfId="0" applyNumberFormat="1" applyAlignment="1" applyProtection="1">
      <alignment vertical="center" shrinkToFit="1"/>
      <protection hidden="1"/>
    </xf>
    <xf numFmtId="186" fontId="0" fillId="0" borderId="0" xfId="0" applyNumberFormat="1" applyAlignment="1" applyProtection="1">
      <alignment vertical="center" shrinkToFit="1"/>
      <protection hidden="1"/>
    </xf>
    <xf numFmtId="187" fontId="0" fillId="0" borderId="0" xfId="0" applyNumberFormat="1" applyAlignment="1" applyProtection="1">
      <alignment vertical="center" shrinkToFit="1"/>
      <protection hidden="1"/>
    </xf>
    <xf numFmtId="185" fontId="0" fillId="0" borderId="0" xfId="0" applyNumberFormat="1" applyAlignment="1" applyProtection="1">
      <alignment horizontal="right" vertical="center" shrinkToFit="1"/>
      <protection hidden="1"/>
    </xf>
    <xf numFmtId="188" fontId="0" fillId="0" borderId="0" xfId="0" applyNumberFormat="1" applyAlignment="1" applyProtection="1">
      <alignment vertical="center" shrinkToFit="1"/>
      <protection hidden="1"/>
    </xf>
    <xf numFmtId="188" fontId="0" fillId="0" borderId="0" xfId="1" applyNumberFormat="1" applyFont="1" applyFill="1" applyAlignment="1" applyProtection="1">
      <alignment vertical="center" shrinkToFit="1"/>
      <protection hidden="1"/>
    </xf>
    <xf numFmtId="189" fontId="0" fillId="0" borderId="6" xfId="0" applyNumberFormat="1" applyBorder="1">
      <alignment vertical="center"/>
    </xf>
    <xf numFmtId="190" fontId="24" fillId="0" borderId="0" xfId="0" applyNumberFormat="1" applyFont="1" applyAlignment="1">
      <alignment horizontal="right" vertical="center"/>
    </xf>
    <xf numFmtId="189" fontId="0" fillId="0" borderId="0" xfId="0" applyNumberFormat="1">
      <alignment vertical="center"/>
    </xf>
    <xf numFmtId="0" fontId="0" fillId="0" borderId="7" xfId="0" applyBorder="1" applyAlignment="1">
      <alignment horizontal="center" vertical="center"/>
    </xf>
    <xf numFmtId="0" fontId="28" fillId="5" borderId="0" xfId="0" applyFont="1" applyFill="1" applyAlignment="1" applyProtection="1">
      <alignment vertical="center" shrinkToFit="1"/>
      <protection hidden="1"/>
    </xf>
    <xf numFmtId="38" fontId="0" fillId="0" borderId="0" xfId="1" applyFont="1" applyFill="1" applyBorder="1" applyAlignment="1" applyProtection="1">
      <alignment vertical="center" shrinkToFit="1"/>
      <protection hidden="1"/>
    </xf>
    <xf numFmtId="38" fontId="0" fillId="0" borderId="0" xfId="1" applyFont="1" applyBorder="1" applyAlignment="1" applyProtection="1">
      <alignment vertical="center" shrinkToFit="1"/>
      <protection hidden="1"/>
    </xf>
    <xf numFmtId="185" fontId="24" fillId="0" borderId="6" xfId="0" applyNumberFormat="1" applyFont="1" applyBorder="1" applyAlignment="1">
      <alignment horizontal="right" vertical="center" shrinkToFit="1"/>
    </xf>
    <xf numFmtId="189" fontId="0" fillId="0" borderId="7" xfId="0" applyNumberFormat="1" applyBorder="1">
      <alignment vertical="center"/>
    </xf>
    <xf numFmtId="0" fontId="0" fillId="0" borderId="8" xfId="0" applyBorder="1" applyAlignment="1">
      <alignment horizontal="center" vertical="center"/>
    </xf>
    <xf numFmtId="185" fontId="24" fillId="0" borderId="8" xfId="0" applyNumberFormat="1" applyFont="1" applyBorder="1" applyAlignment="1">
      <alignment horizontal="right" vertical="center" shrinkToFit="1"/>
    </xf>
    <xf numFmtId="0" fontId="0" fillId="0" borderId="70" xfId="0" applyBorder="1" applyAlignment="1">
      <alignment horizontal="center" vertical="center"/>
    </xf>
    <xf numFmtId="0" fontId="0" fillId="0" borderId="71" xfId="0" applyBorder="1" applyAlignment="1">
      <alignment horizontal="center" vertical="center"/>
    </xf>
    <xf numFmtId="185" fontId="24" fillId="0" borderId="70" xfId="0" applyNumberFormat="1" applyFont="1" applyBorder="1" applyAlignment="1">
      <alignment horizontal="right" vertical="center" shrinkToFit="1"/>
    </xf>
    <xf numFmtId="189" fontId="0" fillId="0" borderId="71" xfId="0" applyNumberFormat="1" applyBorder="1">
      <alignment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5" fillId="0" borderId="0" xfId="0" applyFont="1" applyProtection="1">
      <alignment vertical="center"/>
      <protection locked="0"/>
    </xf>
    <xf numFmtId="0" fontId="36" fillId="0" borderId="0" xfId="0" applyFont="1">
      <alignment vertical="center"/>
    </xf>
    <xf numFmtId="0" fontId="37" fillId="0" borderId="0" xfId="0" applyFont="1" applyProtection="1">
      <alignment vertical="center"/>
      <protection hidden="1"/>
    </xf>
    <xf numFmtId="0" fontId="38" fillId="0" borderId="0" xfId="0" applyFont="1">
      <alignment vertical="center"/>
    </xf>
    <xf numFmtId="0" fontId="36" fillId="0" borderId="0" xfId="0" applyFont="1" applyProtection="1">
      <alignment vertical="center"/>
      <protection hidden="1"/>
    </xf>
    <xf numFmtId="0" fontId="39" fillId="0" borderId="0" xfId="0" applyFont="1">
      <alignment vertical="center"/>
    </xf>
    <xf numFmtId="0" fontId="40" fillId="0" borderId="0" xfId="1" applyNumberFormat="1" applyFont="1" applyFill="1" applyBorder="1" applyAlignment="1">
      <alignment vertical="center"/>
    </xf>
    <xf numFmtId="0" fontId="36" fillId="0" borderId="0" xfId="1" applyNumberFormat="1" applyFont="1" applyFill="1" applyBorder="1" applyAlignment="1" applyProtection="1">
      <alignment vertical="center"/>
    </xf>
    <xf numFmtId="0" fontId="36" fillId="0" borderId="0" xfId="1" applyNumberFormat="1" applyFont="1" applyFill="1" applyBorder="1" applyAlignment="1" applyProtection="1">
      <alignment vertical="center"/>
      <protection hidden="1"/>
    </xf>
    <xf numFmtId="0" fontId="41" fillId="0" borderId="0" xfId="0" applyFont="1">
      <alignment vertical="center"/>
    </xf>
    <xf numFmtId="0" fontId="40" fillId="0" borderId="0" xfId="1" applyNumberFormat="1" applyFont="1" applyFill="1" applyBorder="1" applyAlignment="1" applyProtection="1">
      <alignment vertical="center"/>
      <protection hidden="1"/>
    </xf>
    <xf numFmtId="0" fontId="40" fillId="0" borderId="0" xfId="1" applyNumberFormat="1" applyFont="1" applyFill="1" applyBorder="1" applyAlignment="1" applyProtection="1">
      <alignment vertical="center"/>
    </xf>
    <xf numFmtId="0" fontId="36" fillId="0" borderId="0" xfId="1" applyNumberFormat="1" applyFont="1" applyFill="1" applyBorder="1" applyAlignment="1">
      <alignment vertical="center"/>
    </xf>
    <xf numFmtId="0" fontId="30" fillId="0" borderId="0" xfId="0" applyFont="1">
      <alignment vertical="center"/>
    </xf>
    <xf numFmtId="0" fontId="42" fillId="0" borderId="0" xfId="0" applyFont="1">
      <alignment vertical="center"/>
    </xf>
    <xf numFmtId="0" fontId="40" fillId="0" borderId="0" xfId="0" applyFont="1">
      <alignment vertical="center"/>
    </xf>
    <xf numFmtId="0" fontId="32" fillId="0" borderId="22" xfId="0" applyFont="1" applyBorder="1">
      <alignment vertical="center"/>
    </xf>
    <xf numFmtId="0" fontId="36" fillId="0" borderId="23" xfId="0" applyFont="1" applyBorder="1">
      <alignment vertical="center"/>
    </xf>
    <xf numFmtId="38" fontId="40" fillId="0" borderId="7" xfId="1" applyFont="1" applyFill="1" applyBorder="1">
      <alignment vertical="center"/>
    </xf>
    <xf numFmtId="0" fontId="36" fillId="0" borderId="19" xfId="0" applyFont="1" applyBorder="1">
      <alignment vertical="center"/>
    </xf>
    <xf numFmtId="38" fontId="40" fillId="0" borderId="0" xfId="1" applyFont="1" applyFill="1" applyBorder="1">
      <alignment vertical="center"/>
    </xf>
    <xf numFmtId="0" fontId="36" fillId="0" borderId="24" xfId="0" applyFont="1" applyBorder="1">
      <alignment vertical="center"/>
    </xf>
    <xf numFmtId="0" fontId="36" fillId="0" borderId="26" xfId="0" applyFont="1" applyBorder="1">
      <alignment vertical="center"/>
    </xf>
    <xf numFmtId="38" fontId="40" fillId="0" borderId="11" xfId="1" applyFont="1" applyFill="1" applyBorder="1">
      <alignment vertical="center"/>
    </xf>
    <xf numFmtId="0" fontId="36" fillId="0" borderId="22" xfId="0" applyFont="1" applyBorder="1">
      <alignment vertical="center"/>
    </xf>
    <xf numFmtId="179" fontId="36" fillId="0" borderId="42" xfId="0" applyNumberFormat="1" applyFont="1" applyBorder="1" applyAlignment="1">
      <alignment horizontal="center" vertical="center"/>
    </xf>
    <xf numFmtId="38" fontId="36" fillId="4" borderId="0" xfId="0" applyNumberFormat="1" applyFont="1" applyFill="1">
      <alignment vertical="center"/>
    </xf>
    <xf numFmtId="9" fontId="36" fillId="0" borderId="2" xfId="0" applyNumberFormat="1" applyFont="1" applyBorder="1">
      <alignment vertical="center"/>
    </xf>
    <xf numFmtId="38" fontId="36" fillId="0" borderId="0" xfId="1" applyFont="1" applyFill="1" applyBorder="1" applyAlignment="1">
      <alignment horizontal="right" vertical="center"/>
    </xf>
    <xf numFmtId="0" fontId="36" fillId="0" borderId="0" xfId="0" applyFont="1" applyAlignment="1">
      <alignment horizontal="right" vertical="center"/>
    </xf>
    <xf numFmtId="0" fontId="36" fillId="0" borderId="0" xfId="0" applyFont="1" applyAlignment="1">
      <alignment horizontal="center" vertical="center"/>
    </xf>
    <xf numFmtId="178" fontId="36" fillId="0" borderId="0" xfId="0" applyNumberFormat="1" applyFont="1">
      <alignment vertical="center"/>
    </xf>
    <xf numFmtId="177" fontId="36" fillId="0" borderId="0" xfId="0" applyNumberFormat="1" applyFont="1">
      <alignment vertical="center"/>
    </xf>
    <xf numFmtId="0" fontId="40" fillId="0" borderId="0" xfId="0" applyFont="1" applyAlignment="1">
      <alignment horizontal="left" vertical="center"/>
    </xf>
    <xf numFmtId="57" fontId="40" fillId="0" borderId="0" xfId="0" applyNumberFormat="1" applyFont="1">
      <alignment vertical="center"/>
    </xf>
    <xf numFmtId="0" fontId="43" fillId="0" borderId="0" xfId="0" applyFont="1" applyAlignment="1">
      <alignment horizontal="right" vertical="center"/>
    </xf>
    <xf numFmtId="0" fontId="40" fillId="0" borderId="0" xfId="0" applyFont="1" applyAlignment="1">
      <alignment horizontal="right" vertical="center"/>
    </xf>
    <xf numFmtId="38" fontId="40" fillId="0" borderId="0" xfId="0" applyNumberFormat="1" applyFont="1" applyAlignment="1">
      <alignment horizontal="right" vertical="center"/>
    </xf>
    <xf numFmtId="38" fontId="21" fillId="0" borderId="7" xfId="1" applyFont="1" applyFill="1" applyBorder="1" applyAlignment="1" applyProtection="1">
      <alignment vertical="center"/>
    </xf>
    <xf numFmtId="38" fontId="21" fillId="0" borderId="30" xfId="1" applyFont="1" applyFill="1" applyBorder="1" applyAlignment="1" applyProtection="1">
      <alignment vertical="center"/>
    </xf>
    <xf numFmtId="0" fontId="14" fillId="0" borderId="31" xfId="0" applyFont="1" applyBorder="1" applyAlignment="1">
      <alignment horizontal="right" vertical="center"/>
    </xf>
    <xf numFmtId="0" fontId="6" fillId="0" borderId="0" xfId="0" applyFont="1" applyAlignment="1">
      <alignment horizontal="left" vertical="center"/>
    </xf>
    <xf numFmtId="0" fontId="13" fillId="0" borderId="0" xfId="0" applyFont="1">
      <alignment vertical="center"/>
    </xf>
    <xf numFmtId="0" fontId="5" fillId="0" borderId="0" xfId="0" applyFont="1">
      <alignment vertical="center"/>
    </xf>
    <xf numFmtId="0" fontId="16" fillId="0" borderId="0" xfId="0" applyFont="1">
      <alignment vertical="center"/>
    </xf>
    <xf numFmtId="0" fontId="9" fillId="0" borderId="6" xfId="0" applyFont="1" applyBorder="1" applyAlignment="1">
      <alignment horizontal="center" vertical="center"/>
    </xf>
    <xf numFmtId="176" fontId="21" fillId="0" borderId="6" xfId="0" applyNumberFormat="1" applyFont="1" applyBorder="1" applyAlignment="1">
      <alignment horizontal="center" vertical="center"/>
    </xf>
    <xf numFmtId="0" fontId="10" fillId="0" borderId="0" xfId="0" applyFont="1">
      <alignment vertical="center"/>
    </xf>
    <xf numFmtId="177" fontId="21" fillId="0" borderId="7" xfId="0" applyNumberFormat="1" applyFont="1" applyBorder="1" applyAlignment="1">
      <alignment horizontal="center" vertical="center"/>
    </xf>
    <xf numFmtId="177" fontId="21" fillId="0" borderId="6" xfId="0" applyNumberFormat="1" applyFont="1" applyBorder="1" applyAlignment="1">
      <alignment horizontal="center" vertical="center"/>
    </xf>
    <xf numFmtId="0" fontId="15" fillId="0" borderId="7" xfId="0" applyFont="1" applyBorder="1" applyAlignment="1">
      <alignment horizontal="center" vertical="center" shrinkToFit="1"/>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6" fillId="0" borderId="0" xfId="0" applyFont="1">
      <alignment vertical="center"/>
    </xf>
    <xf numFmtId="0" fontId="12" fillId="0" borderId="0" xfId="0" applyFont="1">
      <alignment vertical="center"/>
    </xf>
    <xf numFmtId="38" fontId="21" fillId="0" borderId="7" xfId="1" applyFont="1" applyFill="1" applyBorder="1" applyAlignment="1" applyProtection="1">
      <alignment horizontal="right" vertical="center"/>
    </xf>
    <xf numFmtId="38" fontId="21" fillId="0" borderId="30" xfId="1" applyFont="1" applyFill="1" applyBorder="1" applyAlignment="1" applyProtection="1">
      <alignment horizontal="right" vertical="center"/>
    </xf>
    <xf numFmtId="38" fontId="0" fillId="0" borderId="0" xfId="0" applyNumberFormat="1">
      <alignment vertical="center"/>
    </xf>
    <xf numFmtId="38" fontId="21" fillId="0" borderId="0" xfId="0" applyNumberFormat="1" applyFont="1" applyAlignment="1">
      <alignment horizontal="right" vertical="center"/>
    </xf>
    <xf numFmtId="0" fontId="6" fillId="0" borderId="22" xfId="0" applyFont="1" applyBorder="1">
      <alignment vertical="center"/>
    </xf>
    <xf numFmtId="38" fontId="21" fillId="0" borderId="0" xfId="0" applyNumberFormat="1" applyFont="1">
      <alignment vertical="center"/>
    </xf>
    <xf numFmtId="38" fontId="21" fillId="0" borderId="0" xfId="1" applyFont="1" applyFill="1" applyBorder="1" applyAlignment="1" applyProtection="1">
      <alignment horizontal="right" vertical="center"/>
    </xf>
    <xf numFmtId="38" fontId="11" fillId="0" borderId="7" xfId="1" applyFont="1" applyFill="1" applyBorder="1" applyProtection="1">
      <alignment vertical="center"/>
    </xf>
    <xf numFmtId="0" fontId="0" fillId="0" borderId="19" xfId="0" applyBorder="1">
      <alignment vertical="center"/>
    </xf>
    <xf numFmtId="38" fontId="21" fillId="0" borderId="0" xfId="1" applyFont="1" applyFill="1" applyProtection="1">
      <alignment vertical="center"/>
    </xf>
    <xf numFmtId="38" fontId="11" fillId="0" borderId="0" xfId="1" applyFont="1" applyFill="1" applyBorder="1" applyProtection="1">
      <alignment vertical="center"/>
    </xf>
    <xf numFmtId="0" fontId="0" fillId="0" borderId="24" xfId="0" applyBorder="1">
      <alignment vertical="center"/>
    </xf>
    <xf numFmtId="0" fontId="21" fillId="0" borderId="0" xfId="0" applyFont="1" applyAlignment="1">
      <alignment horizontal="right" vertical="center"/>
    </xf>
    <xf numFmtId="38" fontId="11" fillId="0" borderId="11" xfId="1" applyFont="1" applyFill="1" applyBorder="1" applyProtection="1">
      <alignment vertical="center"/>
    </xf>
    <xf numFmtId="0" fontId="0" fillId="0" borderId="22" xfId="0" applyBorder="1">
      <alignment vertical="center"/>
    </xf>
    <xf numFmtId="179" fontId="0" fillId="0" borderId="42" xfId="0" applyNumberFormat="1" applyBorder="1" applyAlignment="1">
      <alignment horizontal="center" vertical="center"/>
    </xf>
    <xf numFmtId="38" fontId="21" fillId="4" borderId="0" xfId="0" applyNumberFormat="1" applyFont="1" applyFill="1">
      <alignment vertical="center"/>
    </xf>
    <xf numFmtId="9" fontId="0" fillId="0" borderId="2" xfId="0" applyNumberFormat="1" applyBorder="1">
      <alignment vertical="center"/>
    </xf>
    <xf numFmtId="38" fontId="0" fillId="0" borderId="0" xfId="1" applyFont="1" applyFill="1" applyBorder="1" applyAlignment="1" applyProtection="1">
      <alignment horizontal="right" vertical="center"/>
    </xf>
    <xf numFmtId="0" fontId="0" fillId="0" borderId="0" xfId="0" applyAlignment="1">
      <alignment horizontal="right" vertical="center"/>
    </xf>
    <xf numFmtId="178" fontId="0" fillId="0" borderId="0" xfId="0" applyNumberFormat="1">
      <alignment vertical="center"/>
    </xf>
    <xf numFmtId="177" fontId="0" fillId="0" borderId="0" xfId="0" applyNumberFormat="1">
      <alignment vertical="center"/>
    </xf>
    <xf numFmtId="0" fontId="14" fillId="2" borderId="32" xfId="0" applyFont="1" applyFill="1" applyBorder="1" applyAlignment="1" applyProtection="1">
      <alignment horizontal="right" vertical="center"/>
      <protection locked="0"/>
    </xf>
    <xf numFmtId="176" fontId="21" fillId="2" borderId="5" xfId="0" applyNumberFormat="1" applyFont="1" applyFill="1" applyBorder="1" applyAlignment="1" applyProtection="1">
      <alignment horizontal="center" vertical="center"/>
      <protection locked="0"/>
    </xf>
    <xf numFmtId="38" fontId="21" fillId="2" borderId="14" xfId="1" applyFont="1" applyFill="1" applyBorder="1" applyAlignment="1" applyProtection="1">
      <alignment horizontal="right" vertical="center"/>
      <protection locked="0"/>
    </xf>
    <xf numFmtId="38" fontId="21" fillId="2" borderId="28" xfId="1" applyFont="1" applyFill="1" applyBorder="1" applyAlignment="1" applyProtection="1">
      <alignment horizontal="right" vertical="center"/>
      <protection locked="0"/>
    </xf>
    <xf numFmtId="38" fontId="21" fillId="3" borderId="7" xfId="1" applyFont="1" applyFill="1" applyBorder="1" applyAlignment="1" applyProtection="1">
      <alignment vertical="center"/>
      <protection locked="0"/>
    </xf>
    <xf numFmtId="38" fontId="21" fillId="3" borderId="30" xfId="1" applyFont="1" applyFill="1" applyBorder="1" applyAlignment="1" applyProtection="1">
      <alignment vertical="center"/>
      <protection locked="0"/>
    </xf>
    <xf numFmtId="0" fontId="0" fillId="0" borderId="56"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187" fontId="0" fillId="2" borderId="69" xfId="0" applyNumberFormat="1" applyFill="1" applyBorder="1" applyProtection="1">
      <alignment vertical="center"/>
      <protection locked="0"/>
    </xf>
    <xf numFmtId="0" fontId="44" fillId="0" borderId="0" xfId="0" applyFont="1">
      <alignment vertical="center"/>
    </xf>
    <xf numFmtId="0" fontId="45" fillId="0" borderId="0" xfId="0" applyFont="1">
      <alignment vertical="center"/>
    </xf>
    <xf numFmtId="0" fontId="46" fillId="0" borderId="0" xfId="0" applyFont="1">
      <alignment vertical="center"/>
    </xf>
    <xf numFmtId="0" fontId="0" fillId="0" borderId="36" xfId="0" applyBorder="1" applyAlignment="1" applyProtection="1">
      <alignment vertical="center" shrinkToFit="1"/>
      <protection hidden="1"/>
    </xf>
    <xf numFmtId="184" fontId="0" fillId="0" borderId="36" xfId="0" applyNumberFormat="1" applyBorder="1" applyAlignment="1" applyProtection="1">
      <alignment horizontal="left" vertical="center" shrinkToFit="1"/>
      <protection hidden="1"/>
    </xf>
    <xf numFmtId="185" fontId="0" fillId="0" borderId="36" xfId="0" applyNumberFormat="1" applyBorder="1" applyAlignment="1" applyProtection="1">
      <alignment vertical="center" shrinkToFit="1"/>
      <protection hidden="1"/>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xf>
    <xf numFmtId="0" fontId="11" fillId="0" borderId="22" xfId="0" applyFont="1" applyBorder="1">
      <alignment vertical="center"/>
    </xf>
    <xf numFmtId="38" fontId="11" fillId="0" borderId="7" xfId="1" applyFont="1" applyFill="1" applyBorder="1" applyAlignment="1">
      <alignment horizontal="right" vertical="center"/>
    </xf>
    <xf numFmtId="38" fontId="11" fillId="0" borderId="11" xfId="1" applyFont="1" applyFill="1" applyBorder="1" applyAlignment="1">
      <alignment horizontal="right" vertical="center"/>
    </xf>
    <xf numFmtId="0" fontId="51" fillId="0" borderId="0" xfId="0" applyFont="1">
      <alignment vertical="center"/>
    </xf>
    <xf numFmtId="38" fontId="0" fillId="0" borderId="3" xfId="0" applyNumberFormat="1" applyBorder="1" applyAlignment="1">
      <alignment vertical="center" shrinkToFit="1"/>
    </xf>
    <xf numFmtId="38" fontId="0" fillId="0" borderId="5" xfId="0" applyNumberFormat="1" applyBorder="1" applyAlignment="1">
      <alignment vertical="center" shrinkToFit="1"/>
    </xf>
    <xf numFmtId="38" fontId="0" fillId="0" borderId="13" xfId="0" applyNumberFormat="1" applyBorder="1" applyAlignment="1">
      <alignment vertical="center" shrinkToFit="1"/>
    </xf>
    <xf numFmtId="38" fontId="0" fillId="0" borderId="10" xfId="0" applyNumberFormat="1" applyBorder="1" applyAlignment="1">
      <alignment vertical="center" shrinkToFit="1"/>
    </xf>
    <xf numFmtId="191" fontId="47" fillId="0" borderId="0" xfId="0" applyNumberFormat="1" applyFont="1">
      <alignment vertical="center"/>
    </xf>
    <xf numFmtId="191" fontId="2" fillId="0" borderId="0" xfId="0" applyNumberFormat="1" applyFont="1">
      <alignment vertical="center"/>
    </xf>
    <xf numFmtId="191" fontId="11" fillId="0" borderId="0" xfId="0" applyNumberFormat="1" applyFont="1">
      <alignment vertical="center"/>
    </xf>
    <xf numFmtId="191" fontId="0" fillId="0" borderId="0" xfId="0" applyNumberFormat="1">
      <alignment vertical="center"/>
    </xf>
    <xf numFmtId="191" fontId="48" fillId="0" borderId="0" xfId="0" applyNumberFormat="1" applyFont="1">
      <alignment vertical="center"/>
    </xf>
    <xf numFmtId="191" fontId="49" fillId="0" borderId="0" xfId="0" applyNumberFormat="1" applyFont="1">
      <alignment vertical="center"/>
    </xf>
    <xf numFmtId="0" fontId="21" fillId="0" borderId="0" xfId="0" applyFont="1" applyAlignment="1">
      <alignment horizontal="center" vertical="center" shrinkToFit="1"/>
    </xf>
    <xf numFmtId="38" fontId="20" fillId="3" borderId="11" xfId="1" applyFont="1" applyFill="1" applyBorder="1" applyAlignment="1" applyProtection="1">
      <alignment horizontal="center" vertical="center"/>
      <protection locked="0"/>
    </xf>
    <xf numFmtId="38" fontId="20" fillId="3" borderId="10" xfId="1" applyFont="1" applyFill="1" applyBorder="1" applyAlignment="1" applyProtection="1">
      <alignment horizontal="center" vertical="center"/>
      <protection locked="0"/>
    </xf>
    <xf numFmtId="38" fontId="21" fillId="0" borderId="85" xfId="1" applyFont="1" applyFill="1" applyBorder="1" applyAlignment="1" applyProtection="1">
      <alignment vertical="center"/>
      <protection locked="0"/>
    </xf>
    <xf numFmtId="38" fontId="21" fillId="0" borderId="86" xfId="1" applyFont="1" applyFill="1" applyBorder="1" applyAlignment="1" applyProtection="1">
      <alignment vertical="center"/>
      <protection locked="0"/>
    </xf>
    <xf numFmtId="38" fontId="21" fillId="3" borderId="35" xfId="1" applyFont="1" applyFill="1" applyBorder="1" applyAlignment="1" applyProtection="1">
      <alignment horizontal="right" vertical="center"/>
      <protection locked="0"/>
    </xf>
    <xf numFmtId="38" fontId="21" fillId="3" borderId="87" xfId="1" applyFont="1" applyFill="1" applyBorder="1" applyAlignment="1" applyProtection="1">
      <alignment horizontal="right" vertical="center"/>
      <protection locked="0"/>
    </xf>
    <xf numFmtId="38" fontId="20" fillId="2" borderId="14" xfId="1" applyFont="1" applyFill="1" applyBorder="1" applyAlignment="1" applyProtection="1">
      <alignment horizontal="right" vertical="center"/>
      <protection locked="0"/>
    </xf>
    <xf numFmtId="38" fontId="20" fillId="2" borderId="28" xfId="1" applyFont="1" applyFill="1" applyBorder="1" applyAlignment="1" applyProtection="1">
      <alignment horizontal="right" vertical="center"/>
      <protection locked="0"/>
    </xf>
    <xf numFmtId="38" fontId="21" fillId="3" borderId="11" xfId="1" applyFont="1" applyFill="1" applyBorder="1" applyAlignment="1" applyProtection="1">
      <alignment horizontal="right" vertical="center"/>
      <protection locked="0"/>
    </xf>
    <xf numFmtId="38" fontId="21" fillId="3" borderId="25" xfId="1" applyFont="1" applyFill="1" applyBorder="1" applyAlignment="1" applyProtection="1">
      <alignment horizontal="right" vertical="center"/>
      <protection locked="0"/>
    </xf>
    <xf numFmtId="38" fontId="20" fillId="2" borderId="85" xfId="1" applyFont="1" applyFill="1" applyBorder="1" applyAlignment="1" applyProtection="1">
      <alignment vertical="center"/>
      <protection locked="0"/>
    </xf>
    <xf numFmtId="38" fontId="20" fillId="2" borderId="85" xfId="1" applyFont="1" applyFill="1" applyBorder="1" applyAlignment="1" applyProtection="1">
      <alignment horizontal="right" vertical="center"/>
      <protection locked="0"/>
    </xf>
    <xf numFmtId="38" fontId="20" fillId="2" borderId="86" xfId="1" applyFont="1" applyFill="1" applyBorder="1" applyAlignment="1" applyProtection="1">
      <alignment horizontal="right" vertical="center"/>
      <protection locked="0"/>
    </xf>
    <xf numFmtId="38" fontId="21" fillId="0" borderId="90" xfId="0" applyNumberFormat="1" applyFont="1" applyBorder="1" applyAlignment="1">
      <alignment horizontal="right" vertical="center"/>
    </xf>
    <xf numFmtId="38" fontId="21" fillId="0" borderId="2" xfId="0" applyNumberFormat="1" applyFont="1" applyBorder="1" applyAlignment="1">
      <alignment horizontal="right" vertical="center"/>
    </xf>
    <xf numFmtId="0" fontId="0" fillId="0" borderId="6" xfId="0" applyBorder="1" applyAlignment="1" applyProtection="1">
      <alignment vertical="center" shrinkToFit="1"/>
      <protection hidden="1"/>
    </xf>
    <xf numFmtId="0" fontId="0" fillId="2" borderId="6" xfId="0" applyFill="1" applyBorder="1" applyAlignment="1" applyProtection="1">
      <alignment vertical="center" shrinkToFit="1"/>
      <protection hidden="1"/>
    </xf>
    <xf numFmtId="38" fontId="0" fillId="2" borderId="6" xfId="1" applyFont="1" applyFill="1" applyBorder="1" applyAlignment="1" applyProtection="1">
      <alignment vertical="center" shrinkToFit="1"/>
      <protection hidden="1"/>
    </xf>
    <xf numFmtId="0" fontId="0" fillId="0" borderId="51" xfId="0" applyBorder="1" applyAlignment="1">
      <alignment horizontal="center" vertical="center"/>
    </xf>
    <xf numFmtId="38" fontId="11" fillId="0" borderId="52" xfId="1" applyFont="1" applyFill="1" applyBorder="1" applyAlignment="1">
      <alignment horizontal="center" vertical="center"/>
    </xf>
    <xf numFmtId="38" fontId="11" fillId="0" borderId="54" xfId="1" applyFont="1" applyFill="1" applyBorder="1" applyAlignment="1">
      <alignment horizontal="center" vertical="center"/>
    </xf>
    <xf numFmtId="0" fontId="0" fillId="0" borderId="4" xfId="0" applyBorder="1" applyAlignment="1">
      <alignment horizontal="center" vertical="center" shrinkToFit="1"/>
    </xf>
    <xf numFmtId="180" fontId="18" fillId="0" borderId="94" xfId="0" applyNumberFormat="1" applyFont="1" applyBorder="1" applyAlignment="1">
      <alignment horizontal="right" vertical="center"/>
    </xf>
    <xf numFmtId="0" fontId="0" fillId="0" borderId="97" xfId="0" applyBorder="1" applyAlignment="1">
      <alignment horizontal="center" vertical="center"/>
    </xf>
    <xf numFmtId="0" fontId="0" fillId="0" borderId="64" xfId="0" applyBorder="1">
      <alignment vertical="center"/>
    </xf>
    <xf numFmtId="0" fontId="0" fillId="0" borderId="68" xfId="0" applyBorder="1">
      <alignment vertical="center"/>
    </xf>
    <xf numFmtId="0" fontId="0" fillId="0" borderId="101" xfId="0" applyBorder="1" applyAlignment="1">
      <alignment horizontal="center" vertical="center"/>
    </xf>
    <xf numFmtId="0" fontId="0" fillId="0" borderId="102" xfId="0"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181" fontId="0" fillId="0" borderId="107" xfId="0" applyNumberFormat="1" applyBorder="1" applyAlignment="1">
      <alignment horizontal="center" vertical="center"/>
    </xf>
    <xf numFmtId="38" fontId="0" fillId="0" borderId="105" xfId="0" applyNumberFormat="1" applyBorder="1">
      <alignment vertical="center"/>
    </xf>
    <xf numFmtId="38" fontId="0" fillId="0" borderId="46" xfId="0" applyNumberFormat="1" applyBorder="1" applyAlignment="1">
      <alignment vertical="center" shrinkToFit="1"/>
    </xf>
    <xf numFmtId="38" fontId="0" fillId="0" borderId="52" xfId="0" applyNumberFormat="1" applyBorder="1" applyAlignment="1">
      <alignment vertical="center" shrinkToFit="1"/>
    </xf>
    <xf numFmtId="0" fontId="24" fillId="0" borderId="72" xfId="0" applyFont="1" applyBorder="1" applyAlignment="1">
      <alignment horizontal="center" vertical="center" wrapText="1"/>
    </xf>
    <xf numFmtId="0" fontId="24" fillId="0" borderId="77" xfId="0" applyFont="1" applyBorder="1" applyAlignment="1">
      <alignment horizontal="center" vertical="center"/>
    </xf>
    <xf numFmtId="0" fontId="24" fillId="0" borderId="75" xfId="0" applyFont="1" applyBorder="1" applyAlignment="1">
      <alignment horizontal="center" vertical="center" wrapText="1"/>
    </xf>
    <xf numFmtId="0" fontId="24" fillId="0" borderId="76" xfId="0" applyFont="1" applyBorder="1" applyAlignment="1">
      <alignment horizontal="center" vertical="center"/>
    </xf>
    <xf numFmtId="0" fontId="27" fillId="0" borderId="72" xfId="0" applyFont="1" applyBorder="1" applyAlignment="1">
      <alignment horizontal="center" vertical="center" wrapText="1"/>
    </xf>
    <xf numFmtId="0" fontId="27" fillId="0" borderId="77" xfId="0" applyFont="1" applyBorder="1" applyAlignment="1">
      <alignment horizontal="center" vertical="center"/>
    </xf>
    <xf numFmtId="0" fontId="24" fillId="0" borderId="77" xfId="0" applyFont="1" applyBorder="1" applyAlignment="1">
      <alignment horizontal="center" vertical="center" wrapText="1"/>
    </xf>
    <xf numFmtId="10" fontId="11" fillId="0" borderId="52" xfId="2" applyNumberFormat="1" applyFont="1" applyFill="1" applyBorder="1" applyAlignment="1">
      <alignment horizontal="center" vertical="center"/>
    </xf>
    <xf numFmtId="0" fontId="7" fillId="0" borderId="35" xfId="0" applyFont="1" applyBorder="1">
      <alignment vertical="center"/>
    </xf>
    <xf numFmtId="0" fontId="0" fillId="0" borderId="36" xfId="0" applyBorder="1">
      <alignmen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2" borderId="79" xfId="0" applyFill="1" applyBorder="1" applyAlignment="1">
      <alignment horizontal="center" vertical="center" shrinkToFit="1"/>
    </xf>
    <xf numFmtId="0" fontId="0" fillId="2" borderId="80" xfId="0" applyFill="1" applyBorder="1" applyAlignment="1">
      <alignment horizontal="center" vertical="center" shrinkToFit="1"/>
    </xf>
    <xf numFmtId="0" fontId="0" fillId="2" borderId="81" xfId="0" applyFill="1" applyBorder="1" applyAlignment="1">
      <alignment horizontal="center" vertical="center" shrinkToFit="1"/>
    </xf>
    <xf numFmtId="0" fontId="0" fillId="3" borderId="79" xfId="0" applyFill="1" applyBorder="1" applyAlignment="1">
      <alignment horizontal="center" vertical="center" shrinkToFit="1"/>
    </xf>
    <xf numFmtId="0" fontId="0" fillId="3" borderId="80" xfId="0" applyFill="1" applyBorder="1" applyAlignment="1">
      <alignment horizontal="center" vertical="center" shrinkToFit="1"/>
    </xf>
    <xf numFmtId="0" fontId="0" fillId="3" borderId="81" xfId="0" applyFill="1" applyBorder="1" applyAlignment="1">
      <alignment horizontal="center" vertical="center" shrinkToFi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shrinkToFit="1"/>
    </xf>
    <xf numFmtId="38" fontId="6" fillId="0" borderId="20" xfId="1" applyFont="1" applyFill="1" applyBorder="1" applyAlignment="1" applyProtection="1">
      <alignment horizontal="right" vertical="center"/>
    </xf>
    <xf numFmtId="0" fontId="0" fillId="0" borderId="21" xfId="0" applyBorder="1">
      <alignment vertical="center"/>
    </xf>
    <xf numFmtId="0" fontId="8" fillId="0" borderId="72" xfId="0" applyFont="1" applyBorder="1">
      <alignment vertical="center"/>
    </xf>
    <xf numFmtId="0" fontId="0" fillId="0" borderId="0" xfId="0">
      <alignment vertical="center"/>
    </xf>
    <xf numFmtId="0" fontId="10" fillId="0" borderId="72" xfId="0" applyFont="1" applyBorder="1">
      <alignment vertical="center"/>
    </xf>
    <xf numFmtId="0" fontId="10" fillId="0" borderId="73" xfId="0" applyFont="1" applyBorder="1">
      <alignment vertical="center"/>
    </xf>
    <xf numFmtId="0" fontId="28" fillId="6" borderId="43" xfId="0" applyFont="1" applyFill="1" applyBorder="1" applyAlignment="1">
      <alignment horizontal="center" vertical="center" shrinkToFit="1"/>
    </xf>
    <xf numFmtId="0" fontId="28" fillId="6" borderId="44" xfId="0" applyFont="1" applyFill="1" applyBorder="1" applyAlignment="1">
      <alignment horizontal="center" vertical="center" shrinkToFit="1"/>
    </xf>
    <xf numFmtId="0" fontId="28" fillId="6" borderId="45" xfId="0" applyFont="1" applyFill="1" applyBorder="1" applyAlignment="1">
      <alignment horizontal="center" vertical="center" shrinkToFit="1"/>
    </xf>
    <xf numFmtId="0" fontId="54" fillId="0" borderId="0" xfId="0" applyFont="1">
      <alignment vertical="center"/>
    </xf>
    <xf numFmtId="0" fontId="21" fillId="0" borderId="27"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89" xfId="0" applyFont="1" applyBorder="1" applyAlignment="1">
      <alignment horizontal="center" vertical="center" shrinkToFit="1"/>
    </xf>
    <xf numFmtId="0" fontId="18" fillId="0" borderId="35" xfId="0" applyFont="1" applyBorder="1" applyAlignment="1">
      <alignment horizontal="right" vertical="center"/>
    </xf>
    <xf numFmtId="0" fontId="18" fillId="0" borderId="36" xfId="0" applyFont="1" applyBorder="1" applyAlignment="1">
      <alignment horizontal="right" vertical="center"/>
    </xf>
    <xf numFmtId="0" fontId="18" fillId="0" borderId="9" xfId="0" applyFont="1" applyBorder="1" applyAlignment="1">
      <alignment horizontal="right" vertical="center"/>
    </xf>
    <xf numFmtId="0" fontId="0" fillId="0" borderId="0" xfId="0" applyAlignment="1">
      <alignment horizontal="center" vertical="center" shrinkToFit="1"/>
    </xf>
    <xf numFmtId="0" fontId="21" fillId="4" borderId="0" xfId="0" applyFont="1" applyFill="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19" fillId="0" borderId="39" xfId="0" applyFont="1" applyBorder="1" applyAlignment="1">
      <alignment horizontal="center" vertical="center"/>
    </xf>
    <xf numFmtId="0" fontId="19" fillId="0" borderId="9" xfId="0" applyFont="1" applyBorder="1" applyAlignment="1">
      <alignment horizontal="center" vertical="center"/>
    </xf>
    <xf numFmtId="0" fontId="21" fillId="0" borderId="38" xfId="0" applyFont="1" applyBorder="1" applyAlignment="1">
      <alignment horizontal="center" vertical="center"/>
    </xf>
    <xf numFmtId="0" fontId="21" fillId="0" borderId="33" xfId="0" applyFont="1" applyBorder="1" applyAlignment="1">
      <alignment horizontal="center" vertical="center"/>
    </xf>
    <xf numFmtId="0" fontId="21" fillId="0" borderId="39" xfId="0" applyFont="1" applyBorder="1" applyAlignment="1">
      <alignment horizontal="center" vertical="center"/>
    </xf>
    <xf numFmtId="0" fontId="21" fillId="0" borderId="9" xfId="0" applyFont="1" applyBorder="1" applyAlignment="1">
      <alignment horizontal="center" vertical="center"/>
    </xf>
    <xf numFmtId="0" fontId="21" fillId="0" borderId="88" xfId="0" applyFont="1" applyBorder="1" applyAlignment="1">
      <alignment horizontal="center" vertical="center"/>
    </xf>
    <xf numFmtId="0" fontId="21" fillId="0" borderId="76" xfId="0" applyFont="1" applyBorder="1" applyAlignment="1">
      <alignment horizontal="center"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6" xfId="0" applyBorder="1" applyAlignment="1">
      <alignment horizontal="center" vertical="center" shrinkToFi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0" fillId="0" borderId="1" xfId="0" applyBorder="1" applyAlignment="1">
      <alignment horizontal="left" vertical="center" shrinkToFit="1"/>
    </xf>
    <xf numFmtId="0" fontId="0" fillId="0" borderId="37" xfId="0" applyBorder="1" applyAlignment="1">
      <alignment horizontal="left" vertical="center" shrinkToFit="1"/>
    </xf>
    <xf numFmtId="0" fontId="0" fillId="0" borderId="40" xfId="0" applyBorder="1">
      <alignment vertical="center"/>
    </xf>
    <xf numFmtId="0" fontId="0" fillId="0" borderId="41" xfId="0" applyBorder="1">
      <alignment vertical="center"/>
    </xf>
    <xf numFmtId="191" fontId="40" fillId="0" borderId="0" xfId="0" applyNumberFormat="1" applyFont="1">
      <alignment vertical="center"/>
    </xf>
    <xf numFmtId="191" fontId="36" fillId="0" borderId="0" xfId="0" applyNumberFormat="1" applyFont="1">
      <alignment vertical="center"/>
    </xf>
    <xf numFmtId="0" fontId="36" fillId="4" borderId="0" xfId="0" applyFont="1" applyFill="1" applyAlignment="1">
      <alignment horizontal="center" vertical="center" shrinkToFit="1"/>
    </xf>
    <xf numFmtId="0" fontId="36" fillId="0" borderId="31" xfId="0" applyFont="1" applyBorder="1" applyAlignment="1">
      <alignment horizontal="left" vertical="center" shrinkToFit="1"/>
    </xf>
    <xf numFmtId="0" fontId="0" fillId="0" borderId="89" xfId="0" applyBorder="1" applyAlignment="1">
      <alignment horizontal="left" vertical="center" shrinkToFit="1"/>
    </xf>
    <xf numFmtId="0" fontId="36" fillId="0" borderId="0" xfId="0" applyFont="1" applyAlignment="1">
      <alignment horizontal="center" vertical="center" shrinkToFit="1"/>
    </xf>
    <xf numFmtId="0" fontId="36" fillId="0" borderId="40" xfId="0" applyFont="1" applyBorder="1">
      <alignment vertical="center"/>
    </xf>
    <xf numFmtId="0" fontId="36" fillId="0" borderId="41" xfId="0" applyFont="1" applyBorder="1">
      <alignment vertical="center"/>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6" xfId="0" applyFont="1" applyBorder="1" applyAlignment="1">
      <alignment horizontal="center" vertical="center"/>
    </xf>
    <xf numFmtId="38" fontId="32" fillId="0" borderId="20" xfId="1" applyFont="1" applyFill="1" applyBorder="1" applyAlignment="1">
      <alignment horizontal="right" vertical="center"/>
    </xf>
    <xf numFmtId="0" fontId="36" fillId="0" borderId="21" xfId="0" applyFont="1" applyBorder="1">
      <alignment vertical="center"/>
    </xf>
    <xf numFmtId="0" fontId="36" fillId="0" borderId="17"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6" xfId="0" applyFont="1" applyBorder="1" applyAlignment="1">
      <alignment horizontal="center" vertical="center" shrinkToFi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86"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50" fillId="0" borderId="85" xfId="0" applyFont="1" applyBorder="1" applyAlignment="1">
      <alignment horizontal="center" vertical="center" wrapText="1"/>
    </xf>
    <xf numFmtId="0" fontId="50" fillId="0" borderId="33" xfId="0" applyFont="1"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98" xfId="0" applyBorder="1" applyAlignment="1">
      <alignment horizontal="center" vertical="center" shrinkToFit="1"/>
    </xf>
    <xf numFmtId="0" fontId="0" fillId="0" borderId="97" xfId="0" applyBorder="1" applyAlignment="1">
      <alignment horizontal="center" vertical="center" shrinkToFit="1"/>
    </xf>
    <xf numFmtId="0" fontId="0" fillId="0" borderId="96" xfId="0" applyBorder="1" applyAlignment="1">
      <alignment horizontal="center" vertical="center" shrinkToFit="1"/>
    </xf>
    <xf numFmtId="38" fontId="0" fillId="0" borderId="57" xfId="1" applyFont="1" applyBorder="1" applyAlignment="1">
      <alignment vertical="center"/>
    </xf>
    <xf numFmtId="0" fontId="0" fillId="0" borderId="58" xfId="0" applyBorder="1">
      <alignment vertical="center"/>
    </xf>
    <xf numFmtId="38" fontId="0" fillId="0" borderId="61" xfId="1" applyFont="1" applyBorder="1" applyAlignment="1">
      <alignment vertical="center"/>
    </xf>
    <xf numFmtId="0" fontId="0" fillId="0" borderId="62" xfId="0" applyBorder="1">
      <alignment vertical="center"/>
    </xf>
    <xf numFmtId="38" fontId="0" fillId="0" borderId="78" xfId="1" applyFont="1" applyBorder="1" applyAlignment="1">
      <alignment vertical="center"/>
    </xf>
    <xf numFmtId="0" fontId="0" fillId="0" borderId="65" xfId="0" applyBorder="1">
      <alignment vertical="center"/>
    </xf>
    <xf numFmtId="38" fontId="0" fillId="0" borderId="58" xfId="1" applyFont="1" applyBorder="1" applyAlignment="1">
      <alignment vertical="center"/>
    </xf>
    <xf numFmtId="38" fontId="0" fillId="0" borderId="62" xfId="1" applyFont="1" applyBorder="1" applyAlignment="1">
      <alignment vertical="center"/>
    </xf>
    <xf numFmtId="38" fontId="0" fillId="0" borderId="65" xfId="1" applyFont="1" applyBorder="1" applyAlignment="1">
      <alignment vertical="center"/>
    </xf>
    <xf numFmtId="38" fontId="22" fillId="0" borderId="74" xfId="0" applyNumberFormat="1" applyFont="1" applyBorder="1">
      <alignment vertical="center"/>
    </xf>
    <xf numFmtId="0" fontId="0" fillId="0" borderId="53" xfId="0" applyBorder="1">
      <alignment vertical="center"/>
    </xf>
    <xf numFmtId="0" fontId="0" fillId="0" borderId="75" xfId="0" applyBorder="1">
      <alignment vertical="center"/>
    </xf>
    <xf numFmtId="0" fontId="0" fillId="0" borderId="76" xfId="0" applyBorder="1">
      <alignment vertical="center"/>
    </xf>
    <xf numFmtId="38" fontId="26" fillId="0" borderId="111" xfId="0" applyNumberFormat="1" applyFont="1" applyBorder="1">
      <alignment vertical="center"/>
    </xf>
    <xf numFmtId="0" fontId="0" fillId="0" borderId="112" xfId="0" applyBorder="1">
      <alignment vertical="center"/>
    </xf>
    <xf numFmtId="38" fontId="0" fillId="0" borderId="100" xfId="1" applyFont="1" applyBorder="1" applyAlignment="1">
      <alignment vertical="center" shrinkToFit="1"/>
    </xf>
    <xf numFmtId="0" fontId="0" fillId="0" borderId="62" xfId="0" applyBorder="1" applyAlignment="1">
      <alignment vertical="center" shrinkToFit="1"/>
    </xf>
    <xf numFmtId="38" fontId="0" fillId="0" borderId="100" xfId="1" applyFont="1" applyBorder="1" applyAlignment="1">
      <alignment vertical="center"/>
    </xf>
    <xf numFmtId="0" fontId="0" fillId="0" borderId="99" xfId="0" applyBorder="1">
      <alignment vertical="center"/>
    </xf>
    <xf numFmtId="0" fontId="57" fillId="0" borderId="75" xfId="0" applyFont="1" applyBorder="1" applyAlignment="1">
      <alignment horizontal="center" vertical="center" wrapText="1"/>
    </xf>
    <xf numFmtId="0" fontId="57" fillId="0" borderId="76"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95"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98" xfId="0" applyBorder="1" applyAlignment="1">
      <alignment horizontal="center" vertical="center" wrapText="1"/>
    </xf>
    <xf numFmtId="0" fontId="0" fillId="0" borderId="61" xfId="0" applyBorder="1" applyAlignment="1">
      <alignment horizontal="center" vertical="center" wrapText="1"/>
    </xf>
    <xf numFmtId="0" fontId="0" fillId="0" borderId="78" xfId="0" applyBorder="1">
      <alignment vertical="center"/>
    </xf>
    <xf numFmtId="0" fontId="0" fillId="0" borderId="98"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wrapText="1"/>
    </xf>
    <xf numFmtId="0" fontId="0" fillId="0" borderId="4" xfId="0" applyBorder="1" applyAlignment="1">
      <alignment horizontal="center" vertical="center" wrapText="1"/>
    </xf>
    <xf numFmtId="0" fontId="0" fillId="0" borderId="52" xfId="0" applyBorder="1" applyAlignment="1">
      <alignment horizontal="center" vertical="center" wrapText="1"/>
    </xf>
    <xf numFmtId="0" fontId="0" fillId="0" borderId="47" xfId="0" applyBorder="1" applyAlignment="1">
      <alignment horizontal="center" vertical="center"/>
    </xf>
    <xf numFmtId="0" fontId="0" fillId="0" borderId="85" xfId="0" applyBorder="1" applyAlignment="1">
      <alignment horizontal="center" vertical="center" wrapText="1"/>
    </xf>
    <xf numFmtId="0" fontId="0" fillId="0" borderId="34" xfId="0" applyBorder="1" applyAlignment="1">
      <alignment horizontal="center" vertical="center" wrapText="1"/>
    </xf>
    <xf numFmtId="0" fontId="0" fillId="0" borderId="92" xfId="0" applyBorder="1" applyAlignment="1">
      <alignment horizontal="center" vertical="center" wrapText="1"/>
    </xf>
    <xf numFmtId="0" fontId="0" fillId="0" borderId="72"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93" xfId="0" applyBorder="1" applyAlignment="1">
      <alignment horizontal="center" vertical="center" wrapText="1"/>
    </xf>
    <xf numFmtId="0" fontId="0" fillId="0" borderId="37" xfId="0" applyBorder="1" applyAlignment="1">
      <alignment horizontal="center" vertical="center"/>
    </xf>
    <xf numFmtId="0" fontId="0" fillId="0" borderId="13" xfId="0" applyBorder="1" applyAlignment="1">
      <alignment horizontal="center" vertical="center"/>
    </xf>
    <xf numFmtId="38" fontId="0" fillId="0" borderId="13" xfId="0" applyNumberFormat="1" applyBorder="1" applyAlignment="1">
      <alignment vertical="center" shrinkToFit="1"/>
    </xf>
    <xf numFmtId="0" fontId="0" fillId="0" borderId="13" xfId="0" applyBorder="1" applyAlignment="1">
      <alignment vertical="center" shrinkToFit="1"/>
    </xf>
    <xf numFmtId="38" fontId="22" fillId="0" borderId="90" xfId="0" applyNumberFormat="1" applyFont="1" applyBorder="1">
      <alignment vertical="center"/>
    </xf>
    <xf numFmtId="0" fontId="0" fillId="0" borderId="89" xfId="0" applyBorder="1">
      <alignment vertical="center"/>
    </xf>
    <xf numFmtId="0" fontId="22" fillId="0" borderId="90" xfId="0" applyFont="1" applyBorder="1">
      <alignment vertical="center"/>
    </xf>
    <xf numFmtId="0" fontId="0" fillId="0" borderId="37" xfId="0" applyBorder="1" applyAlignment="1">
      <alignment vertical="center" wrapText="1"/>
    </xf>
    <xf numFmtId="38" fontId="0" fillId="0" borderId="52" xfId="0" applyNumberFormat="1" applyBorder="1" applyAlignment="1">
      <alignment vertical="center" shrinkToFit="1"/>
    </xf>
    <xf numFmtId="0" fontId="0" fillId="0" borderId="52" xfId="0" applyBorder="1" applyAlignment="1">
      <alignment vertical="center" shrinkToFit="1"/>
    </xf>
    <xf numFmtId="0" fontId="21" fillId="0" borderId="14" xfId="0" applyFont="1" applyBorder="1" applyAlignment="1">
      <alignment horizontal="center" vertical="center" shrinkToFit="1"/>
    </xf>
    <xf numFmtId="38" fontId="0" fillId="0" borderId="108" xfId="1" applyFont="1" applyBorder="1" applyAlignment="1">
      <alignment vertical="center"/>
    </xf>
    <xf numFmtId="0" fontId="0" fillId="0" borderId="107" xfId="0" applyBorder="1">
      <alignment vertical="center"/>
    </xf>
    <xf numFmtId="0" fontId="56" fillId="0" borderId="0" xfId="0" applyFont="1" applyAlignment="1">
      <alignment vertical="top" wrapText="1"/>
    </xf>
    <xf numFmtId="0" fontId="56" fillId="0" borderId="109" xfId="0" applyFont="1" applyBorder="1" applyAlignment="1">
      <alignment vertical="top" wrapText="1"/>
    </xf>
    <xf numFmtId="0" fontId="21" fillId="0" borderId="98" xfId="0" applyFont="1" applyBorder="1" applyAlignment="1">
      <alignment horizontal="center" vertical="center" shrinkToFit="1"/>
    </xf>
    <xf numFmtId="0" fontId="22" fillId="0" borderId="75" xfId="0" applyFont="1" applyBorder="1">
      <alignment vertical="center"/>
    </xf>
    <xf numFmtId="0" fontId="26" fillId="0" borderId="110" xfId="0" applyFont="1" applyBorder="1" applyAlignment="1">
      <alignment horizontal="center" vertical="center"/>
    </xf>
    <xf numFmtId="0" fontId="0" fillId="0" borderId="91" xfId="0" applyBorder="1" applyAlignment="1">
      <alignment horizontal="center" vertical="center"/>
    </xf>
    <xf numFmtId="38" fontId="16" fillId="0" borderId="13" xfId="0" applyNumberFormat="1" applyFont="1" applyBorder="1">
      <alignment vertical="center"/>
    </xf>
    <xf numFmtId="0" fontId="16" fillId="0" borderId="13" xfId="0" applyFont="1" applyBorder="1">
      <alignment vertical="center"/>
    </xf>
    <xf numFmtId="0" fontId="16" fillId="0" borderId="28" xfId="0" applyFont="1" applyBorder="1">
      <alignment vertical="center"/>
    </xf>
    <xf numFmtId="182" fontId="0" fillId="0" borderId="29" xfId="0" applyNumberFormat="1" applyBorder="1" applyAlignment="1">
      <alignment horizontal="center" vertical="center" shrinkToFit="1"/>
    </xf>
    <xf numFmtId="182" fontId="0" fillId="0" borderId="13" xfId="0" applyNumberFormat="1" applyBorder="1" applyAlignment="1">
      <alignment horizontal="center" vertical="center" shrinkToFit="1"/>
    </xf>
    <xf numFmtId="0" fontId="16" fillId="0" borderId="13" xfId="0" applyFont="1" applyBorder="1" applyAlignment="1">
      <alignment horizontal="right" vertical="center"/>
    </xf>
    <xf numFmtId="38" fontId="0" fillId="0" borderId="10" xfId="0" applyNumberFormat="1" applyBorder="1" applyAlignment="1">
      <alignment vertical="center" shrinkToFit="1"/>
    </xf>
    <xf numFmtId="0" fontId="0" fillId="0" borderId="10" xfId="0" applyBorder="1" applyAlignment="1">
      <alignment vertical="center" shrinkToFit="1"/>
    </xf>
    <xf numFmtId="38" fontId="0" fillId="0" borderId="3" xfId="0" applyNumberFormat="1" applyBorder="1" applyAlignment="1">
      <alignment vertical="center" shrinkToFit="1"/>
    </xf>
    <xf numFmtId="0" fontId="0" fillId="0" borderId="3" xfId="0" applyBorder="1" applyAlignment="1">
      <alignment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0" fontId="0" fillId="0" borderId="10" xfId="0" applyBorder="1" applyAlignment="1">
      <alignment vertical="center" wrapText="1"/>
    </xf>
    <xf numFmtId="0" fontId="23" fillId="0" borderId="0" xfId="0" applyFont="1">
      <alignment vertical="center"/>
    </xf>
    <xf numFmtId="0" fontId="25" fillId="0" borderId="0" xfId="0" applyFont="1">
      <alignment vertical="center"/>
    </xf>
    <xf numFmtId="38" fontId="0" fillId="0" borderId="46" xfId="0" applyNumberFormat="1" applyBorder="1" applyAlignment="1">
      <alignment vertical="center" shrinkToFit="1"/>
    </xf>
    <xf numFmtId="0" fontId="0" fillId="0" borderId="46" xfId="0" applyBorder="1" applyAlignment="1">
      <alignment vertical="center" shrinkToFit="1"/>
    </xf>
    <xf numFmtId="0" fontId="0" fillId="0" borderId="10" xfId="0" applyBorder="1" applyAlignment="1">
      <alignment horizontal="center" vertical="center" shrinkToFit="1"/>
    </xf>
    <xf numFmtId="38" fontId="0" fillId="0" borderId="5" xfId="0" applyNumberFormat="1" applyBorder="1" applyAlignment="1">
      <alignment vertical="center" shrinkToFit="1"/>
    </xf>
    <xf numFmtId="0" fontId="0" fillId="0" borderId="5" xfId="0" applyBorder="1" applyAlignment="1">
      <alignment vertical="center" shrinkToFit="1"/>
    </xf>
    <xf numFmtId="0" fontId="0" fillId="0" borderId="14" xfId="0" applyBorder="1" applyAlignment="1">
      <alignment horizontal="center" vertical="center"/>
    </xf>
    <xf numFmtId="0" fontId="0" fillId="0" borderId="16" xfId="0" applyBorder="1" applyAlignment="1">
      <alignment horizontal="center" vertical="center"/>
    </xf>
    <xf numFmtId="0" fontId="28" fillId="5" borderId="0" xfId="0" applyFont="1" applyFill="1" applyAlignment="1" applyProtection="1">
      <alignment vertical="center" shrinkToFit="1"/>
      <protection hidden="1"/>
    </xf>
    <xf numFmtId="0" fontId="0" fillId="0" borderId="0" xfId="0" applyAlignment="1">
      <alignment vertical="center" shrinkToFit="1"/>
    </xf>
    <xf numFmtId="0" fontId="29" fillId="5" borderId="0" xfId="0" applyFont="1" applyFill="1" applyAlignment="1" applyProtection="1">
      <alignment vertical="center" shrinkToFit="1"/>
      <protection hidden="1"/>
    </xf>
    <xf numFmtId="0" fontId="24" fillId="0" borderId="0" xfId="0" applyFont="1" applyAlignment="1">
      <alignment vertical="center" shrinkToFit="1"/>
    </xf>
    <xf numFmtId="0" fontId="27" fillId="0" borderId="0" xfId="0" applyFont="1" applyAlignment="1">
      <alignment vertical="center" shrinkToFit="1"/>
    </xf>
    <xf numFmtId="0" fontId="28" fillId="5" borderId="0" xfId="0" applyFont="1" applyFill="1" applyProtection="1">
      <alignment vertical="center"/>
      <protection hidden="1"/>
    </xf>
    <xf numFmtId="0" fontId="28" fillId="5" borderId="0" xfId="0" applyFont="1" applyFill="1" applyAlignment="1">
      <alignment vertical="center" shrinkToFit="1"/>
    </xf>
    <xf numFmtId="0" fontId="0" fillId="0" borderId="0" xfId="0" applyAlignment="1" applyProtection="1">
      <alignment vertical="center" shrinkToFit="1"/>
      <protection hidden="1"/>
    </xf>
  </cellXfs>
  <cellStyles count="3">
    <cellStyle name="パーセント" xfId="2" builtinId="5"/>
    <cellStyle name="桁区切り" xfId="1" builtinId="6"/>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32</xdr:row>
      <xdr:rowOff>9525</xdr:rowOff>
    </xdr:to>
    <xdr:pic>
      <xdr:nvPicPr>
        <xdr:cNvPr id="2" name="図 1">
          <a:extLst>
            <a:ext uri="{FF2B5EF4-FFF2-40B4-BE49-F238E27FC236}">
              <a16:creationId xmlns:a16="http://schemas.microsoft.com/office/drawing/2014/main" id="{379D9207-B3A1-D88F-165A-22D8C257E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15025" cy="572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123825</xdr:colOff>
      <xdr:row>0</xdr:row>
      <xdr:rowOff>19050</xdr:rowOff>
    </xdr:from>
    <xdr:to>
      <xdr:col>15</xdr:col>
      <xdr:colOff>647700</xdr:colOff>
      <xdr:row>17</xdr:row>
      <xdr:rowOff>180975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038850" y="19050"/>
          <a:ext cx="6543675" cy="3019425"/>
        </a:xfrm>
        <a:prstGeom prst="rect">
          <a:avLst/>
        </a:prstGeom>
        <a:solidFill>
          <a:schemeClr val="accent6">
            <a:lumMod val="20000"/>
            <a:lumOff val="80000"/>
          </a:schemeClr>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「多摩市　国民健康保険税　試算シート」の使い方（参考資料タブもご覧ください）</a:t>
          </a:r>
          <a:endParaRPr kumimoji="1" lang="en-US" altLang="ja-JP" sz="1200">
            <a:solidFill>
              <a:srgbClr val="FF0000"/>
            </a:solidFill>
            <a:latin typeface="HG創英角ｺﾞｼｯｸUB" panose="020B0909000000000000" pitchFamily="49" charset="-128"/>
            <a:ea typeface="HG創英角ｺﾞｼｯｸUB" panose="020B0909000000000000" pitchFamily="49" charset="-128"/>
          </a:endParaRPr>
        </a:p>
        <a:p>
          <a:pPr>
            <a:lnSpc>
              <a:spcPts val="1200"/>
            </a:lnSpc>
          </a:pPr>
          <a:r>
            <a:rPr kumimoji="1" lang="ja-JP" altLang="en-US" sz="1000" b="1"/>
            <a:t>シートに入力する方は、</a:t>
          </a:r>
          <a:r>
            <a:rPr kumimoji="1" lang="ja-JP" altLang="en-US" sz="1000" b="1">
              <a:solidFill>
                <a:srgbClr val="FF0000"/>
              </a:solidFill>
            </a:rPr>
            <a:t>世帯主と</a:t>
          </a:r>
          <a:r>
            <a:rPr kumimoji="1" lang="ja-JP" altLang="en-US" sz="1000" b="1"/>
            <a:t>国民健康保険に加入する方全員です。（保険税は世帯毎に計算します）</a:t>
          </a:r>
        </a:p>
        <a:p>
          <a:pPr>
            <a:lnSpc>
              <a:spcPts val="1200"/>
            </a:lnSpc>
          </a:pPr>
          <a:r>
            <a:rPr kumimoji="1" lang="ja-JP" altLang="en-US" sz="1100">
              <a:solidFill>
                <a:srgbClr val="FF0000"/>
              </a:solidFill>
              <a:latin typeface="+mn-ea"/>
              <a:ea typeface="+mn-ea"/>
            </a:rPr>
            <a:t>入力は右隣の</a:t>
          </a:r>
          <a:r>
            <a:rPr kumimoji="1" lang="ja-JP" altLang="en-US" sz="1100" b="1">
              <a:solidFill>
                <a:srgbClr val="FF0000"/>
              </a:solidFill>
              <a:latin typeface="+mn-ea"/>
              <a:ea typeface="+mn-ea"/>
            </a:rPr>
            <a:t>「基礎情報入力シート」タブ</a:t>
          </a:r>
          <a:r>
            <a:rPr kumimoji="1" lang="ja-JP" altLang="en-US" sz="1100">
              <a:solidFill>
                <a:srgbClr val="FF0000"/>
              </a:solidFill>
              <a:latin typeface="+mn-ea"/>
              <a:ea typeface="+mn-ea"/>
            </a:rPr>
            <a:t>に入力します。</a:t>
          </a:r>
          <a:endParaRPr kumimoji="1" lang="en-US" altLang="ja-JP" sz="1100">
            <a:solidFill>
              <a:srgbClr val="FF0000"/>
            </a:solidFill>
            <a:latin typeface="+mn-ea"/>
            <a:ea typeface="+mn-ea"/>
          </a:endParaRPr>
        </a:p>
        <a:p>
          <a:pPr>
            <a:lnSpc>
              <a:spcPts val="1200"/>
            </a:lnSpc>
          </a:pPr>
          <a:r>
            <a:rPr kumimoji="1" lang="ja-JP" altLang="en-US" sz="1000">
              <a:solidFill>
                <a:srgbClr val="FF0000"/>
              </a:solidFill>
            </a:rPr>
            <a:t>世帯主は一番左（Ｃ列）</a:t>
          </a:r>
          <a:r>
            <a:rPr kumimoji="1" lang="ja-JP" altLang="en-US" sz="1000"/>
            <a:t>に、その他の加入者はＤ～Ｇ列に記入してください。</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①</a:t>
          </a:r>
          <a:r>
            <a:rPr kumimoji="1" lang="ja-JP" altLang="en-US" sz="1000"/>
            <a:t>　Ｂ１のセルに年度を入力してください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r>
            <a:rPr kumimoji="1" lang="ja-JP" altLang="en-US" sz="1000"/>
            <a:t>（この試算シートは令和</a:t>
          </a:r>
          <a:r>
            <a:rPr kumimoji="1" lang="en-US" altLang="ja-JP" sz="1000"/>
            <a:t>4</a:t>
          </a:r>
          <a:r>
            <a:rPr kumimoji="1" lang="ja-JP" altLang="en-US" sz="1000"/>
            <a:t>年度～</a:t>
          </a:r>
          <a:r>
            <a:rPr kumimoji="1" lang="en-US" altLang="ja-JP" sz="1000"/>
            <a:t>8</a:t>
          </a:r>
          <a:r>
            <a:rPr kumimoji="1" lang="ja-JP" altLang="en-US" sz="1000"/>
            <a:t>年度分のみ対応して</a:t>
          </a:r>
          <a:endParaRPr kumimoji="1" lang="en-US" altLang="ja-JP" sz="1000"/>
        </a:p>
        <a:p>
          <a:pPr>
            <a:lnSpc>
              <a:spcPts val="1200"/>
            </a:lnSpc>
          </a:pPr>
          <a:r>
            <a:rPr kumimoji="1" lang="ja-JP" altLang="en-US" sz="1000"/>
            <a:t>　　います。それ以外の数字では正しく計算できません。）</a:t>
          </a:r>
          <a:r>
            <a:rPr kumimoji="1" lang="en-US" altLang="ja-JP" sz="1000"/>
            <a:t>1</a:t>
          </a:r>
          <a:endParaRPr kumimoji="1" lang="ja-JP" altLang="en-US" sz="1000"/>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②</a:t>
          </a:r>
          <a:r>
            <a:rPr kumimoji="1" lang="ja-JP" altLang="en-US" sz="1000"/>
            <a:t>　世帯主が国民健康保険に加入するか否かをＤ２のセルで選んでください。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ja-JP" altLang="en-US" sz="1000">
            <a:solidFill>
              <a:srgbClr val="FF0000"/>
            </a:solidFill>
          </a:endParaRP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③</a:t>
          </a:r>
          <a:r>
            <a:rPr kumimoji="1" lang="ja-JP" altLang="en-US" sz="1000"/>
            <a:t>　世帯主及び加入する方の生年月日を入力してください。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④</a:t>
          </a:r>
          <a:r>
            <a:rPr kumimoji="1" lang="ja-JP" altLang="en-US" sz="1000"/>
            <a:t>　収入または所得を入力します。</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en-US" altLang="ja-JP" sz="1000">
            <a:solidFill>
              <a:sysClr val="windowText" lastClr="000000"/>
            </a:solidFill>
          </a:endParaRPr>
        </a:p>
        <a:p>
          <a:pPr>
            <a:lnSpc>
              <a:spcPts val="1200"/>
            </a:lnSpc>
          </a:pPr>
          <a:r>
            <a:rPr kumimoji="1" lang="ja-JP" altLang="en-US" sz="1000">
              <a:solidFill>
                <a:sysClr val="windowText" lastClr="000000"/>
              </a:solidFill>
            </a:rPr>
            <a:t>　・</a:t>
          </a:r>
          <a:r>
            <a:rPr kumimoji="1" lang="ja-JP" altLang="en-US" sz="1000"/>
            <a:t>給与と公的年金は収入を入力すると、確定申告の手引きの計算方法に従って、自動的に所得を計算します。</a:t>
          </a:r>
        </a:p>
        <a:p>
          <a:pPr>
            <a:lnSpc>
              <a:spcPts val="1200"/>
            </a:lnSpc>
          </a:pPr>
          <a:r>
            <a:rPr kumimoji="1" lang="ja-JP" altLang="en-US" sz="1000"/>
            <a:t>　・所得を直接入力することもできます。薄茶色のセル</a:t>
          </a:r>
          <a:r>
            <a:rPr kumimoji="1" lang="en-US" altLang="ja-JP" sz="1000"/>
            <a:t>(11</a:t>
          </a:r>
          <a:r>
            <a:rPr kumimoji="1" lang="ja-JP" altLang="en-US" sz="1000"/>
            <a:t>行目、</a:t>
          </a:r>
          <a:r>
            <a:rPr kumimoji="1" lang="en-US" altLang="ja-JP" sz="1000"/>
            <a:t>14</a:t>
          </a:r>
          <a:r>
            <a:rPr kumimoji="1" lang="ja-JP" altLang="en-US" sz="1000"/>
            <a:t>行目</a:t>
          </a:r>
          <a:r>
            <a:rPr kumimoji="1" lang="en-US" altLang="ja-JP" sz="1000"/>
            <a:t>)</a:t>
          </a:r>
          <a:r>
            <a:rPr kumimoji="1" lang="ja-JP" altLang="en-US" sz="1000"/>
            <a:t>に所得を入力すると、収入から</a:t>
          </a:r>
          <a:endParaRPr kumimoji="1" lang="en-US" altLang="ja-JP" sz="1000"/>
        </a:p>
        <a:p>
          <a:pPr>
            <a:lnSpc>
              <a:spcPts val="1200"/>
            </a:lnSpc>
          </a:pPr>
          <a:r>
            <a:rPr kumimoji="1" lang="ja-JP" altLang="en-US" sz="1000"/>
            <a:t>　　自動計算しなくなります。（所得の直接入力が優先されます）</a:t>
          </a:r>
        </a:p>
        <a:p>
          <a:pPr>
            <a:lnSpc>
              <a:spcPts val="1200"/>
            </a:lnSpc>
          </a:pPr>
          <a:r>
            <a:rPr kumimoji="1" lang="ja-JP" altLang="en-US" sz="1000"/>
            <a:t>　・その他の所得（事業・不動産・公的年金以外の年金等）はその他所得欄</a:t>
          </a:r>
          <a:r>
            <a:rPr kumimoji="1" lang="en-US" altLang="ja-JP" sz="1000"/>
            <a:t>(17</a:t>
          </a:r>
          <a:r>
            <a:rPr kumimoji="1" lang="ja-JP" altLang="en-US" sz="1000"/>
            <a:t>行目</a:t>
          </a:r>
          <a:r>
            <a:rPr kumimoji="1" lang="en-US" altLang="ja-JP" sz="1000"/>
            <a:t>)</a:t>
          </a:r>
          <a:r>
            <a:rPr kumimoji="1" lang="ja-JP" altLang="en-US" sz="1000"/>
            <a:t>に直接入力してください。</a:t>
          </a:r>
          <a:endParaRPr kumimoji="1" lang="en-US" altLang="ja-JP" sz="1000"/>
        </a:p>
        <a:p>
          <a:pPr>
            <a:lnSpc>
              <a:spcPts val="1200"/>
            </a:lnSpc>
          </a:pPr>
          <a:r>
            <a:rPr kumimoji="1" lang="ja-JP" altLang="en-US" sz="1000"/>
            <a:t>　・０円は入力しなくても構いません。（空欄は０円と判断されます）</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⑤</a:t>
          </a:r>
          <a:r>
            <a:rPr kumimoji="1" lang="ja-JP" altLang="en-US" sz="1000"/>
            <a:t>　非自発的失業の欄はハローワークで発行される「雇用保険受給資格者証」をお持ちの方が対象です。</a:t>
          </a:r>
          <a:endParaRPr kumimoji="1" lang="en-US" altLang="ja-JP" sz="1000"/>
        </a:p>
        <a:p>
          <a:pPr>
            <a:lnSpc>
              <a:spcPts val="1200"/>
            </a:lnSpc>
          </a:pPr>
          <a:r>
            <a:rPr kumimoji="1" lang="ja-JP" altLang="en-US" sz="1000"/>
            <a:t>　　離職理由の２桁のコードを入力してください。対象コードの場合は減額した額で計算されます。</a:t>
          </a:r>
          <a:endParaRPr kumimoji="1" lang="en-US" altLang="ja-JP" sz="1000"/>
        </a:p>
        <a:p>
          <a:pPr>
            <a:lnSpc>
              <a:spcPts val="1200"/>
            </a:lnSpc>
          </a:pPr>
          <a:r>
            <a:rPr kumimoji="1" lang="ja-JP" altLang="en-US" sz="1000"/>
            <a:t>　</a:t>
          </a:r>
          <a:r>
            <a:rPr kumimoji="1" lang="ja-JP" altLang="en-US" sz="1000" b="1"/>
            <a:t>（ただし、多摩市役所の窓口で申請する必要があります。自動的に減額にはなりません）</a:t>
          </a:r>
          <a:endParaRPr kumimoji="1" lang="en-US" altLang="ja-JP" sz="1000" b="1"/>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⑥</a:t>
          </a:r>
          <a:r>
            <a:rPr kumimoji="1" lang="ja-JP" altLang="en-US" sz="1000"/>
            <a:t>　</a:t>
          </a:r>
          <a:r>
            <a:rPr kumimoji="1" lang="ja-JP" altLang="en-US" sz="1000">
              <a:solidFill>
                <a:srgbClr val="FF0000"/>
              </a:solidFill>
            </a:rPr>
            <a:t>入力が終了したら</a:t>
          </a:r>
          <a:r>
            <a:rPr kumimoji="1" lang="ja-JP" altLang="en-US" sz="1000" b="1">
              <a:solidFill>
                <a:srgbClr val="FF0000"/>
              </a:solidFill>
            </a:rPr>
            <a:t>「税額試算書」タブ</a:t>
          </a:r>
          <a:r>
            <a:rPr kumimoji="1" lang="ja-JP" altLang="en-US" sz="1000">
              <a:solidFill>
                <a:srgbClr val="FF0000"/>
              </a:solidFill>
            </a:rPr>
            <a:t>に切り替えると、試算額がわかります。</a:t>
          </a:r>
          <a:endParaRPr kumimoji="1" lang="en-US" altLang="ja-JP" sz="1000">
            <a:solidFill>
              <a:srgbClr val="FF0000"/>
            </a:solidFill>
          </a:endParaRPr>
        </a:p>
        <a:p>
          <a:pPr>
            <a:lnSpc>
              <a:spcPts val="1200"/>
            </a:lnSpc>
          </a:pPr>
          <a:r>
            <a:rPr kumimoji="1" lang="en-US" altLang="ja-JP" sz="1000" b="1">
              <a:solidFill>
                <a:srgbClr val="7030A0"/>
              </a:solidFill>
            </a:rPr>
            <a:t>※</a:t>
          </a:r>
          <a:r>
            <a:rPr kumimoji="1" lang="ja-JP" altLang="en-US" sz="1000" b="1">
              <a:solidFill>
                <a:srgbClr val="7030A0"/>
              </a:solidFill>
            </a:rPr>
            <a:t>この試算シートで計算できるのは５人までです。６人以上の場合は別途お問い合わせください。</a:t>
          </a:r>
          <a:endParaRPr kumimoji="1" lang="ja-JP" altLang="en-US" sz="1000"/>
        </a:p>
      </xdr:txBody>
    </xdr:sp>
    <xdr:clientData/>
  </xdr:twoCellAnchor>
  <xdr:twoCellAnchor>
    <xdr:from>
      <xdr:col>11</xdr:col>
      <xdr:colOff>171450</xdr:colOff>
      <xdr:row>19</xdr:row>
      <xdr:rowOff>114300</xdr:rowOff>
    </xdr:from>
    <xdr:to>
      <xdr:col>11</xdr:col>
      <xdr:colOff>581025</xdr:colOff>
      <xdr:row>22</xdr:row>
      <xdr:rowOff>104775</xdr:rowOff>
    </xdr:to>
    <xdr:sp macro="" textlink="">
      <xdr:nvSpPr>
        <xdr:cNvPr id="12" name="右大かっこ 11">
          <a:extLst>
            <a:ext uri="{FF2B5EF4-FFF2-40B4-BE49-F238E27FC236}">
              <a16:creationId xmlns:a16="http://schemas.microsoft.com/office/drawing/2014/main" id="{00000000-0008-0000-0000-00000C000000}"/>
            </a:ext>
          </a:extLst>
        </xdr:cNvPr>
        <xdr:cNvSpPr/>
      </xdr:nvSpPr>
      <xdr:spPr>
        <a:xfrm>
          <a:off x="9353550" y="3352800"/>
          <a:ext cx="409575" cy="561975"/>
        </a:xfrm>
        <a:prstGeom prst="rightBracket">
          <a:avLst/>
        </a:prstGeom>
        <a:ln w="53975">
          <a:solidFill>
            <a:schemeClr val="tx1"/>
          </a:solidFill>
          <a:headEnd type="stealth" w="med" len="med"/>
          <a:tailEnd type="stealth"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22</xdr:row>
      <xdr:rowOff>0</xdr:rowOff>
    </xdr:from>
    <xdr:to>
      <xdr:col>13</xdr:col>
      <xdr:colOff>200025</xdr:colOff>
      <xdr:row>25</xdr:row>
      <xdr:rowOff>114300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9210675" y="3810000"/>
          <a:ext cx="1790700" cy="6858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xdr:colOff>
      <xdr:row>27</xdr:row>
      <xdr:rowOff>101570</xdr:rowOff>
    </xdr:from>
    <xdr:to>
      <xdr:col>11</xdr:col>
      <xdr:colOff>655320</xdr:colOff>
      <xdr:row>27</xdr:row>
      <xdr:rowOff>102870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flipV="1">
          <a:off x="9185912" y="4864070"/>
          <a:ext cx="655318" cy="13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632460</xdr:colOff>
      <xdr:row>25</xdr:row>
      <xdr:rowOff>7620</xdr:rowOff>
    </xdr:from>
    <xdr:to>
      <xdr:col>12</xdr:col>
      <xdr:colOff>9525</xdr:colOff>
      <xdr:row>31</xdr:row>
      <xdr:rowOff>0</xdr:rowOff>
    </xdr:to>
    <xdr:sp macro="" textlink="">
      <xdr:nvSpPr>
        <xdr:cNvPr id="20" name="左中かっこ 19">
          <a:extLst>
            <a:ext uri="{FF2B5EF4-FFF2-40B4-BE49-F238E27FC236}">
              <a16:creationId xmlns:a16="http://schemas.microsoft.com/office/drawing/2014/main" id="{00000000-0008-0000-0000-000014000000}"/>
            </a:ext>
          </a:extLst>
        </xdr:cNvPr>
        <xdr:cNvSpPr/>
      </xdr:nvSpPr>
      <xdr:spPr>
        <a:xfrm>
          <a:off x="9814010" y="4431250"/>
          <a:ext cx="128075" cy="1146370"/>
        </a:xfrm>
        <a:prstGeom prst="leftBrace">
          <a:avLst>
            <a:gd name="adj1" fmla="val 41666"/>
            <a:gd name="adj2" fmla="val 41959"/>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513336</xdr:colOff>
      <xdr:row>5</xdr:row>
      <xdr:rowOff>155378</xdr:rowOff>
    </xdr:from>
    <xdr:ext cx="4450096" cy="1344663"/>
    <xdr:sp macro="" textlink="">
      <xdr:nvSpPr>
        <xdr:cNvPr id="3" name="正方形/長方形 2">
          <a:extLst>
            <a:ext uri="{FF2B5EF4-FFF2-40B4-BE49-F238E27FC236}">
              <a16:creationId xmlns:a16="http://schemas.microsoft.com/office/drawing/2014/main" id="{00000000-0008-0000-0000-000003000000}"/>
            </a:ext>
          </a:extLst>
        </xdr:cNvPr>
        <xdr:cNvSpPr/>
      </xdr:nvSpPr>
      <xdr:spPr>
        <a:xfrm rot="20454348">
          <a:off x="1027686" y="1107878"/>
          <a:ext cx="4450096" cy="1344663"/>
        </a:xfrm>
        <a:prstGeom prst="rect">
          <a:avLst/>
        </a:prstGeom>
        <a:noFill/>
      </xdr:spPr>
      <xdr:txBody>
        <a:bodyPr wrap="square" lIns="91440" tIns="45720" rIns="91440" bIns="45720">
          <a:spAutoFit/>
        </a:bodyPr>
        <a:lstStyle/>
        <a:p>
          <a:pPr algn="ctr"/>
          <a:r>
            <a:rPr lang="en-US" altLang="ja-JP" sz="8000" b="0" cap="none" spc="0">
              <a:ln w="0"/>
              <a:solidFill>
                <a:srgbClr val="00B050"/>
              </a:solidFill>
              <a:effectLst>
                <a:outerShdw blurRad="38100" dist="19050" dir="2700000" algn="tl" rotWithShape="0">
                  <a:schemeClr val="dk1">
                    <a:alpha val="40000"/>
                  </a:schemeClr>
                </a:outerShdw>
              </a:effectLst>
            </a:rPr>
            <a:t>SAMPLE</a:t>
          </a:r>
          <a:endParaRPr lang="ja-JP" altLang="en-US" sz="8000" b="0" cap="none" spc="0">
            <a:ln w="0"/>
            <a:solidFill>
              <a:srgbClr val="00B050"/>
            </a:solidFill>
            <a:effectLst>
              <a:outerShdw blurRad="38100" dist="19050" dir="2700000" algn="tl" rotWithShape="0">
                <a:schemeClr val="dk1">
                  <a:alpha val="40000"/>
                </a:schemeClr>
              </a:outerShdw>
            </a:effectLst>
          </a:endParaRPr>
        </a:p>
      </xdr:txBody>
    </xdr:sp>
    <xdr:clientData/>
  </xdr:oneCellAnchor>
  <xdr:twoCellAnchor>
    <xdr:from>
      <xdr:col>11</xdr:col>
      <xdr:colOff>612860</xdr:colOff>
      <xdr:row>32</xdr:row>
      <xdr:rowOff>11650</xdr:rowOff>
    </xdr:from>
    <xdr:to>
      <xdr:col>12</xdr:col>
      <xdr:colOff>9525</xdr:colOff>
      <xdr:row>35</xdr:row>
      <xdr:rowOff>9525</xdr:rowOff>
    </xdr:to>
    <xdr:sp macro="" textlink="">
      <xdr:nvSpPr>
        <xdr:cNvPr id="4" name="左中かっこ 3">
          <a:extLst>
            <a:ext uri="{FF2B5EF4-FFF2-40B4-BE49-F238E27FC236}">
              <a16:creationId xmlns:a16="http://schemas.microsoft.com/office/drawing/2014/main" id="{D21BB43B-36FB-47BA-B168-A011D76CABC1}"/>
            </a:ext>
          </a:extLst>
        </xdr:cNvPr>
        <xdr:cNvSpPr/>
      </xdr:nvSpPr>
      <xdr:spPr>
        <a:xfrm>
          <a:off x="9795555" y="5704326"/>
          <a:ext cx="148247" cy="567142"/>
        </a:xfrm>
        <a:prstGeom prst="leftBrace">
          <a:avLst>
            <a:gd name="adj1" fmla="val 41666"/>
            <a:gd name="adj2" fmla="val 49176"/>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535781</xdr:colOff>
      <xdr:row>28</xdr:row>
      <xdr:rowOff>89297</xdr:rowOff>
    </xdr:from>
    <xdr:to>
      <xdr:col>11</xdr:col>
      <xdr:colOff>613887</xdr:colOff>
      <xdr:row>33</xdr:row>
      <xdr:rowOff>102870</xdr:rowOff>
    </xdr:to>
    <xdr:cxnSp macro="">
      <xdr:nvCxnSpPr>
        <xdr:cNvPr id="5" name="直線矢印コネクタ 4">
          <a:extLst>
            <a:ext uri="{FF2B5EF4-FFF2-40B4-BE49-F238E27FC236}">
              <a16:creationId xmlns:a16="http://schemas.microsoft.com/office/drawing/2014/main" id="{9B1E6C44-07D3-44C0-9ED9-061D9539B47A}"/>
            </a:ext>
          </a:extLst>
        </xdr:cNvPr>
        <xdr:cNvCxnSpPr/>
      </xdr:nvCxnSpPr>
      <xdr:spPr>
        <a:xfrm flipH="1" flipV="1">
          <a:off x="9175254" y="5022949"/>
          <a:ext cx="621328" cy="962353"/>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18</xdr:row>
      <xdr:rowOff>9524</xdr:rowOff>
    </xdr:from>
    <xdr:to>
      <xdr:col>6</xdr:col>
      <xdr:colOff>950595</xdr:colOff>
      <xdr:row>32</xdr:row>
      <xdr:rowOff>7620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620" y="3057524"/>
          <a:ext cx="5905500" cy="2665096"/>
        </a:xfrm>
        <a:prstGeom prst="roundRect">
          <a:avLst>
            <a:gd name="adj" fmla="val 6061"/>
          </a:avLst>
        </a:prstGeom>
        <a:solidFill>
          <a:schemeClr val="accent6">
            <a:lumMod val="50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200">
              <a:latin typeface="BIZ UDゴシック" panose="020B0400000000000000" pitchFamily="49" charset="-128"/>
              <a:ea typeface="BIZ UDゴシック" panose="020B0400000000000000" pitchFamily="49" charset="-128"/>
            </a:rPr>
            <a:t>ここは作業用</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（自動計算）エリアです。</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（入力できません）</a:t>
          </a:r>
          <a:endParaRPr kumimoji="1" lang="en-US" altLang="ja-JP" sz="12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1103262</xdr:colOff>
      <xdr:row>2</xdr:row>
      <xdr:rowOff>0</xdr:rowOff>
    </xdr:from>
    <xdr:to>
      <xdr:col>18</xdr:col>
      <xdr:colOff>89948</xdr:colOff>
      <xdr:row>3</xdr:row>
      <xdr:rowOff>3663</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7514572" y="564931"/>
          <a:ext cx="136255" cy="24014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104775</xdr:rowOff>
    </xdr:from>
    <xdr:to>
      <xdr:col>11</xdr:col>
      <xdr:colOff>390525</xdr:colOff>
      <xdr:row>74</xdr:row>
      <xdr:rowOff>114300</xdr:rowOff>
    </xdr:to>
    <xdr:pic>
      <xdr:nvPicPr>
        <xdr:cNvPr id="16" name="図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7934325"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xdr:row>
      <xdr:rowOff>68580</xdr:rowOff>
    </xdr:from>
    <xdr:to>
      <xdr:col>11</xdr:col>
      <xdr:colOff>443387</xdr:colOff>
      <xdr:row>50</xdr:row>
      <xdr:rowOff>121920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100" y="883920"/>
          <a:ext cx="7781447" cy="10797540"/>
        </a:xfrm>
        <a:prstGeom prst="rect">
          <a:avLst/>
        </a:prstGeom>
      </xdr:spPr>
    </xdr:pic>
    <xdr:clientData/>
  </xdr:twoCellAnchor>
  <xdr:twoCellAnchor>
    <xdr:from>
      <xdr:col>1</xdr:col>
      <xdr:colOff>175260</xdr:colOff>
      <xdr:row>33</xdr:row>
      <xdr:rowOff>45720</xdr:rowOff>
    </xdr:from>
    <xdr:to>
      <xdr:col>5</xdr:col>
      <xdr:colOff>621030</xdr:colOff>
      <xdr:row>34</xdr:row>
      <xdr:rowOff>121920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845820" y="7719060"/>
          <a:ext cx="3128010" cy="304800"/>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495300</xdr:colOff>
      <xdr:row>34</xdr:row>
      <xdr:rowOff>196216</xdr:rowOff>
    </xdr:from>
    <xdr:to>
      <xdr:col>10</xdr:col>
      <xdr:colOff>619125</xdr:colOff>
      <xdr:row>38</xdr:row>
      <xdr:rowOff>129541</xdr:rowOff>
    </xdr:to>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4518660" y="8098156"/>
          <a:ext cx="2806065" cy="847725"/>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国民健康保険税では、この合計所得金額を基礎に計算します。複数の所得がある方は、その他所得に一括してこの合計額を入力してください。</a:t>
          </a:r>
        </a:p>
      </xdr:txBody>
    </xdr:sp>
    <xdr:clientData/>
  </xdr:twoCellAnchor>
  <xdr:twoCellAnchor>
    <xdr:from>
      <xdr:col>2</xdr:col>
      <xdr:colOff>333375</xdr:colOff>
      <xdr:row>63</xdr:row>
      <xdr:rowOff>142875</xdr:rowOff>
    </xdr:from>
    <xdr:to>
      <xdr:col>4</xdr:col>
      <xdr:colOff>619125</xdr:colOff>
      <xdr:row>66</xdr:row>
      <xdr:rowOff>200025</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1704975" y="13011150"/>
          <a:ext cx="165735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63</xdr:row>
      <xdr:rowOff>142875</xdr:rowOff>
    </xdr:from>
    <xdr:to>
      <xdr:col>7</xdr:col>
      <xdr:colOff>114300</xdr:colOff>
      <xdr:row>66</xdr:row>
      <xdr:rowOff>200025</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3390900" y="13011150"/>
          <a:ext cx="152400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647700</xdr:colOff>
      <xdr:row>67</xdr:row>
      <xdr:rowOff>1</xdr:rowOff>
    </xdr:from>
    <xdr:to>
      <xdr:col>12</xdr:col>
      <xdr:colOff>85725</xdr:colOff>
      <xdr:row>69</xdr:row>
      <xdr:rowOff>19050</xdr:rowOff>
    </xdr:to>
    <xdr:sp macro="" textlink="">
      <xdr:nvSpPr>
        <xdr:cNvPr id="8" name="線吹き出し 1 (枠付き) 7">
          <a:extLst>
            <a:ext uri="{FF2B5EF4-FFF2-40B4-BE49-F238E27FC236}">
              <a16:creationId xmlns:a16="http://schemas.microsoft.com/office/drawing/2014/main" id="{00000000-0008-0000-0300-000008000000}"/>
            </a:ext>
          </a:extLst>
        </xdr:cNvPr>
        <xdr:cNvSpPr/>
      </xdr:nvSpPr>
      <xdr:spPr>
        <a:xfrm>
          <a:off x="5448300" y="13820776"/>
          <a:ext cx="2867025" cy="495299"/>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給与所得を直接入力する方は、ここの金額を入力してください。</a:t>
          </a:r>
        </a:p>
      </xdr:txBody>
    </xdr:sp>
    <xdr:clientData/>
  </xdr:twoCellAnchor>
  <xdr:twoCellAnchor>
    <xdr:from>
      <xdr:col>0</xdr:col>
      <xdr:colOff>209547</xdr:colOff>
      <xdr:row>69</xdr:row>
      <xdr:rowOff>133351</xdr:rowOff>
    </xdr:from>
    <xdr:to>
      <xdr:col>4</xdr:col>
      <xdr:colOff>571498</xdr:colOff>
      <xdr:row>72</xdr:row>
      <xdr:rowOff>104775</xdr:rowOff>
    </xdr:to>
    <xdr:sp macro="" textlink="">
      <xdr:nvSpPr>
        <xdr:cNvPr id="9" name="線吹き出し 1 (枠付き) 8">
          <a:extLst>
            <a:ext uri="{FF2B5EF4-FFF2-40B4-BE49-F238E27FC236}">
              <a16:creationId xmlns:a16="http://schemas.microsoft.com/office/drawing/2014/main" id="{00000000-0008-0000-0300-000009000000}"/>
            </a:ext>
          </a:extLst>
        </xdr:cNvPr>
        <xdr:cNvSpPr/>
      </xdr:nvSpPr>
      <xdr:spPr>
        <a:xfrm flipH="1">
          <a:off x="209547" y="14430376"/>
          <a:ext cx="3105151" cy="685799"/>
        </a:xfrm>
        <a:prstGeom prst="borderCallout1">
          <a:avLst>
            <a:gd name="adj1" fmla="val -18523"/>
            <a:gd name="adj2" fmla="val 7916"/>
            <a:gd name="adj3" fmla="val -95786"/>
            <a:gd name="adj4" fmla="val 5329"/>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は、ここの金額を入力してください。（給与所得額が確定申告の手引きの計算方法に従って、自動計算されます）</a:t>
          </a:r>
        </a:p>
      </xdr:txBody>
    </xdr:sp>
    <xdr:clientData/>
  </xdr:twoCellAnchor>
  <xdr:twoCellAnchor editAs="oneCell">
    <xdr:from>
      <xdr:col>0</xdr:col>
      <xdr:colOff>0</xdr:colOff>
      <xdr:row>78</xdr:row>
      <xdr:rowOff>47625</xdr:rowOff>
    </xdr:from>
    <xdr:to>
      <xdr:col>9</xdr:col>
      <xdr:colOff>628650</xdr:colOff>
      <xdr:row>97</xdr:row>
      <xdr:rowOff>57150</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0" y="17087850"/>
          <a:ext cx="6800850" cy="453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647700</xdr:colOff>
      <xdr:row>95</xdr:row>
      <xdr:rowOff>0</xdr:rowOff>
    </xdr:from>
    <xdr:to>
      <xdr:col>9</xdr:col>
      <xdr:colOff>609600</xdr:colOff>
      <xdr:row>96</xdr:row>
      <xdr:rowOff>85725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341620" y="22105620"/>
          <a:ext cx="130302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2060"/>
              </a:solidFill>
              <a:latin typeface="ＭＳ ゴシック" panose="020B0609070205080204" pitchFamily="49" charset="-128"/>
              <a:ea typeface="ＭＳ ゴシック" panose="020B0609070205080204" pitchFamily="49" charset="-128"/>
            </a:rPr>
            <a:t>(C)</a:t>
          </a:r>
          <a:r>
            <a:rPr kumimoji="1" lang="ja-JP" altLang="en-US" sz="1100" b="1">
              <a:solidFill>
                <a:srgbClr val="002060"/>
              </a:solidFill>
              <a:latin typeface="ＭＳ ゴシック" panose="020B0609070205080204" pitchFamily="49" charset="-128"/>
              <a:ea typeface="ＭＳ ゴシック" panose="020B0609070205080204" pitchFamily="49" charset="-128"/>
            </a:rPr>
            <a:t>日本年金機構</a:t>
          </a:r>
        </a:p>
      </xdr:txBody>
    </xdr:sp>
    <xdr:clientData/>
  </xdr:twoCellAnchor>
  <xdr:twoCellAnchor>
    <xdr:from>
      <xdr:col>1</xdr:col>
      <xdr:colOff>600075</xdr:colOff>
      <xdr:row>81</xdr:row>
      <xdr:rowOff>123825</xdr:rowOff>
    </xdr:from>
    <xdr:to>
      <xdr:col>5</xdr:col>
      <xdr:colOff>657225</xdr:colOff>
      <xdr:row>86</xdr:row>
      <xdr:rowOff>104775</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285875" y="17878425"/>
          <a:ext cx="2800350" cy="117157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581026</xdr:colOff>
      <xdr:row>84</xdr:row>
      <xdr:rowOff>38102</xdr:rowOff>
    </xdr:from>
    <xdr:to>
      <xdr:col>9</xdr:col>
      <xdr:colOff>495300</xdr:colOff>
      <xdr:row>86</xdr:row>
      <xdr:rowOff>85726</xdr:rowOff>
    </xdr:to>
    <xdr:sp macro="" textlink="">
      <xdr:nvSpPr>
        <xdr:cNvPr id="13" name="線吹き出し 1 (枠付き) 12">
          <a:extLst>
            <a:ext uri="{FF2B5EF4-FFF2-40B4-BE49-F238E27FC236}">
              <a16:creationId xmlns:a16="http://schemas.microsoft.com/office/drawing/2014/main" id="{00000000-0008-0000-0300-00000D000000}"/>
            </a:ext>
          </a:extLst>
        </xdr:cNvPr>
        <xdr:cNvSpPr/>
      </xdr:nvSpPr>
      <xdr:spPr>
        <a:xfrm>
          <a:off x="4604386" y="17114522"/>
          <a:ext cx="1925954" cy="504824"/>
        </a:xfrm>
        <a:prstGeom prst="borderCallout1">
          <a:avLst>
            <a:gd name="adj1" fmla="val 31477"/>
            <a:gd name="adj2" fmla="val -4629"/>
            <a:gd name="adj3" fmla="val -8813"/>
            <a:gd name="adj4" fmla="val -31094"/>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ここの金額を年金</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額の</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欄に記入</a:t>
          </a:r>
        </a:p>
      </xdr:txBody>
    </xdr:sp>
    <xdr:clientData/>
  </xdr:twoCellAnchor>
  <xdr:twoCellAnchor>
    <xdr:from>
      <xdr:col>0</xdr:col>
      <xdr:colOff>180975</xdr:colOff>
      <xdr:row>73</xdr:row>
      <xdr:rowOff>228600</xdr:rowOff>
    </xdr:from>
    <xdr:to>
      <xdr:col>11</xdr:col>
      <xdr:colOff>257175</xdr:colOff>
      <xdr:row>74</xdr:row>
      <xdr:rowOff>161925</xdr:rowOff>
    </xdr:to>
    <xdr:cxnSp macro="">
      <xdr:nvCxnSpPr>
        <xdr:cNvPr id="15" name="曲線コネクタ 14">
          <a:extLst>
            <a:ext uri="{FF2B5EF4-FFF2-40B4-BE49-F238E27FC236}">
              <a16:creationId xmlns:a16="http://schemas.microsoft.com/office/drawing/2014/main" id="{00000000-0008-0000-0300-00000F000000}"/>
            </a:ext>
          </a:extLst>
        </xdr:cNvPr>
        <xdr:cNvCxnSpPr/>
      </xdr:nvCxnSpPr>
      <xdr:spPr>
        <a:xfrm>
          <a:off x="180975" y="15478125"/>
          <a:ext cx="7620000" cy="171450"/>
        </a:xfrm>
        <a:prstGeom prst="curvedConnector3">
          <a:avLst/>
        </a:prstGeom>
        <a:ln w="28575" cmpd="dbl">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49"/>
  <sheetViews>
    <sheetView zoomScaleNormal="100" workbookViewId="0"/>
  </sheetViews>
  <sheetFormatPr defaultRowHeight="15" customHeight="1"/>
  <cols>
    <col min="1" max="1" width="6.75" style="73" customWidth="1"/>
    <col min="2" max="2" width="8.375" style="73" customWidth="1"/>
    <col min="3" max="7" width="12.5" style="73" customWidth="1"/>
    <col min="8" max="8" width="9" style="73"/>
    <col min="9" max="9" width="5.25" style="73" bestFit="1" customWidth="1"/>
    <col min="10" max="10" width="21.5" style="73" customWidth="1"/>
    <col min="11" max="11" width="7.125" style="73" bestFit="1" customWidth="1"/>
    <col min="12" max="12" width="9.875" style="73" customWidth="1"/>
    <col min="13" max="13" width="11.375" style="73" customWidth="1"/>
    <col min="14" max="14" width="5.875" style="73" customWidth="1"/>
    <col min="15" max="16" width="9" style="73"/>
    <col min="17" max="17" width="6.125" style="73" customWidth="1"/>
    <col min="18" max="18" width="19.5" style="73" customWidth="1"/>
    <col min="19" max="249" width="9" style="73"/>
    <col min="250" max="250" width="6.875" style="73" customWidth="1"/>
    <col min="251" max="251" width="7.5" style="73" customWidth="1"/>
    <col min="252" max="252" width="6.75" style="73" customWidth="1"/>
    <col min="253" max="253" width="8.375" style="73" customWidth="1"/>
    <col min="254" max="254" width="4.5" style="73" customWidth="1"/>
    <col min="255" max="255" width="8.25" style="73" customWidth="1"/>
    <col min="256" max="256" width="3.75" style="73" customWidth="1"/>
    <col min="257" max="257" width="7.75" style="73" customWidth="1"/>
    <col min="258" max="258" width="3.75" style="73" customWidth="1"/>
    <col min="259" max="259" width="7.75" style="73" customWidth="1"/>
    <col min="260" max="260" width="3.75" style="73" customWidth="1"/>
    <col min="261" max="261" width="7.75" style="73" customWidth="1"/>
    <col min="262" max="262" width="3.75" style="73" customWidth="1"/>
    <col min="263" max="263" width="6.25" style="73" customWidth="1"/>
    <col min="264" max="264" width="9" style="73"/>
    <col min="265" max="265" width="12.625" style="73" customWidth="1"/>
    <col min="266" max="266" width="19.125" style="73" customWidth="1"/>
    <col min="267" max="267" width="4.75" style="73" customWidth="1"/>
    <col min="268" max="268" width="9.875" style="73" customWidth="1"/>
    <col min="269" max="269" width="11.375" style="73" customWidth="1"/>
    <col min="270" max="270" width="5.875" style="73" customWidth="1"/>
    <col min="271" max="272" width="9" style="73"/>
    <col min="273" max="273" width="6.125" style="73" customWidth="1"/>
    <col min="274" max="274" width="19.5" style="73" customWidth="1"/>
    <col min="275" max="505" width="9" style="73"/>
    <col min="506" max="506" width="6.875" style="73" customWidth="1"/>
    <col min="507" max="507" width="7.5" style="73" customWidth="1"/>
    <col min="508" max="508" width="6.75" style="73" customWidth="1"/>
    <col min="509" max="509" width="8.375" style="73" customWidth="1"/>
    <col min="510" max="510" width="4.5" style="73" customWidth="1"/>
    <col min="511" max="511" width="8.25" style="73" customWidth="1"/>
    <col min="512" max="512" width="3.75" style="73" customWidth="1"/>
    <col min="513" max="513" width="7.75" style="73" customWidth="1"/>
    <col min="514" max="514" width="3.75" style="73" customWidth="1"/>
    <col min="515" max="515" width="7.75" style="73" customWidth="1"/>
    <col min="516" max="516" width="3.75" style="73" customWidth="1"/>
    <col min="517" max="517" width="7.75" style="73" customWidth="1"/>
    <col min="518" max="518" width="3.75" style="73" customWidth="1"/>
    <col min="519" max="519" width="6.25" style="73" customWidth="1"/>
    <col min="520" max="520" width="9" style="73"/>
    <col min="521" max="521" width="12.625" style="73" customWidth="1"/>
    <col min="522" max="522" width="19.125" style="73" customWidth="1"/>
    <col min="523" max="523" width="4.75" style="73" customWidth="1"/>
    <col min="524" max="524" width="9.875" style="73" customWidth="1"/>
    <col min="525" max="525" width="11.375" style="73" customWidth="1"/>
    <col min="526" max="526" width="5.875" style="73" customWidth="1"/>
    <col min="527" max="528" width="9" style="73"/>
    <col min="529" max="529" width="6.125" style="73" customWidth="1"/>
    <col min="530" max="530" width="19.5" style="73" customWidth="1"/>
    <col min="531" max="761" width="9" style="73"/>
    <col min="762" max="762" width="6.875" style="73" customWidth="1"/>
    <col min="763" max="763" width="7.5" style="73" customWidth="1"/>
    <col min="764" max="764" width="6.75" style="73" customWidth="1"/>
    <col min="765" max="765" width="8.375" style="73" customWidth="1"/>
    <col min="766" max="766" width="4.5" style="73" customWidth="1"/>
    <col min="767" max="767" width="8.25" style="73" customWidth="1"/>
    <col min="768" max="768" width="3.75" style="73" customWidth="1"/>
    <col min="769" max="769" width="7.75" style="73" customWidth="1"/>
    <col min="770" max="770" width="3.75" style="73" customWidth="1"/>
    <col min="771" max="771" width="7.75" style="73" customWidth="1"/>
    <col min="772" max="772" width="3.75" style="73" customWidth="1"/>
    <col min="773" max="773" width="7.75" style="73" customWidth="1"/>
    <col min="774" max="774" width="3.75" style="73" customWidth="1"/>
    <col min="775" max="775" width="6.25" style="73" customWidth="1"/>
    <col min="776" max="776" width="9" style="73"/>
    <col min="777" max="777" width="12.625" style="73" customWidth="1"/>
    <col min="778" max="778" width="19.125" style="73" customWidth="1"/>
    <col min="779" max="779" width="4.75" style="73" customWidth="1"/>
    <col min="780" max="780" width="9.875" style="73" customWidth="1"/>
    <col min="781" max="781" width="11.375" style="73" customWidth="1"/>
    <col min="782" max="782" width="5.875" style="73" customWidth="1"/>
    <col min="783" max="784" width="9" style="73"/>
    <col min="785" max="785" width="6.125" style="73" customWidth="1"/>
    <col min="786" max="786" width="19.5" style="73" customWidth="1"/>
    <col min="787" max="1017" width="9" style="73"/>
    <col min="1018" max="1018" width="6.875" style="73" customWidth="1"/>
    <col min="1019" max="1019" width="7.5" style="73" customWidth="1"/>
    <col min="1020" max="1020" width="6.75" style="73" customWidth="1"/>
    <col min="1021" max="1021" width="8.375" style="73" customWidth="1"/>
    <col min="1022" max="1022" width="4.5" style="73" customWidth="1"/>
    <col min="1023" max="1023" width="8.25" style="73" customWidth="1"/>
    <col min="1024" max="1024" width="3.75" style="73" customWidth="1"/>
    <col min="1025" max="1025" width="7.75" style="73" customWidth="1"/>
    <col min="1026" max="1026" width="3.75" style="73" customWidth="1"/>
    <col min="1027" max="1027" width="7.75" style="73" customWidth="1"/>
    <col min="1028" max="1028" width="3.75" style="73" customWidth="1"/>
    <col min="1029" max="1029" width="7.75" style="73" customWidth="1"/>
    <col min="1030" max="1030" width="3.75" style="73" customWidth="1"/>
    <col min="1031" max="1031" width="6.25" style="73" customWidth="1"/>
    <col min="1032" max="1032" width="9" style="73"/>
    <col min="1033" max="1033" width="12.625" style="73" customWidth="1"/>
    <col min="1034" max="1034" width="19.125" style="73" customWidth="1"/>
    <col min="1035" max="1035" width="4.75" style="73" customWidth="1"/>
    <col min="1036" max="1036" width="9.875" style="73" customWidth="1"/>
    <col min="1037" max="1037" width="11.375" style="73" customWidth="1"/>
    <col min="1038" max="1038" width="5.875" style="73" customWidth="1"/>
    <col min="1039" max="1040" width="9" style="73"/>
    <col min="1041" max="1041" width="6.125" style="73" customWidth="1"/>
    <col min="1042" max="1042" width="19.5" style="73" customWidth="1"/>
    <col min="1043" max="1273" width="9" style="73"/>
    <col min="1274" max="1274" width="6.875" style="73" customWidth="1"/>
    <col min="1275" max="1275" width="7.5" style="73" customWidth="1"/>
    <col min="1276" max="1276" width="6.75" style="73" customWidth="1"/>
    <col min="1277" max="1277" width="8.375" style="73" customWidth="1"/>
    <col min="1278" max="1278" width="4.5" style="73" customWidth="1"/>
    <col min="1279" max="1279" width="8.25" style="73" customWidth="1"/>
    <col min="1280" max="1280" width="3.75" style="73" customWidth="1"/>
    <col min="1281" max="1281" width="7.75" style="73" customWidth="1"/>
    <col min="1282" max="1282" width="3.75" style="73" customWidth="1"/>
    <col min="1283" max="1283" width="7.75" style="73" customWidth="1"/>
    <col min="1284" max="1284" width="3.75" style="73" customWidth="1"/>
    <col min="1285" max="1285" width="7.75" style="73" customWidth="1"/>
    <col min="1286" max="1286" width="3.75" style="73" customWidth="1"/>
    <col min="1287" max="1287" width="6.25" style="73" customWidth="1"/>
    <col min="1288" max="1288" width="9" style="73"/>
    <col min="1289" max="1289" width="12.625" style="73" customWidth="1"/>
    <col min="1290" max="1290" width="19.125" style="73" customWidth="1"/>
    <col min="1291" max="1291" width="4.75" style="73" customWidth="1"/>
    <col min="1292" max="1292" width="9.875" style="73" customWidth="1"/>
    <col min="1293" max="1293" width="11.375" style="73" customWidth="1"/>
    <col min="1294" max="1294" width="5.875" style="73" customWidth="1"/>
    <col min="1295" max="1296" width="9" style="73"/>
    <col min="1297" max="1297" width="6.125" style="73" customWidth="1"/>
    <col min="1298" max="1298" width="19.5" style="73" customWidth="1"/>
    <col min="1299" max="1529" width="9" style="73"/>
    <col min="1530" max="1530" width="6.875" style="73" customWidth="1"/>
    <col min="1531" max="1531" width="7.5" style="73" customWidth="1"/>
    <col min="1532" max="1532" width="6.75" style="73" customWidth="1"/>
    <col min="1533" max="1533" width="8.375" style="73" customWidth="1"/>
    <col min="1534" max="1534" width="4.5" style="73" customWidth="1"/>
    <col min="1535" max="1535" width="8.25" style="73" customWidth="1"/>
    <col min="1536" max="1536" width="3.75" style="73" customWidth="1"/>
    <col min="1537" max="1537" width="7.75" style="73" customWidth="1"/>
    <col min="1538" max="1538" width="3.75" style="73" customWidth="1"/>
    <col min="1539" max="1539" width="7.75" style="73" customWidth="1"/>
    <col min="1540" max="1540" width="3.75" style="73" customWidth="1"/>
    <col min="1541" max="1541" width="7.75" style="73" customWidth="1"/>
    <col min="1542" max="1542" width="3.75" style="73" customWidth="1"/>
    <col min="1543" max="1543" width="6.25" style="73" customWidth="1"/>
    <col min="1544" max="1544" width="9" style="73"/>
    <col min="1545" max="1545" width="12.625" style="73" customWidth="1"/>
    <col min="1546" max="1546" width="19.125" style="73" customWidth="1"/>
    <col min="1547" max="1547" width="4.75" style="73" customWidth="1"/>
    <col min="1548" max="1548" width="9.875" style="73" customWidth="1"/>
    <col min="1549" max="1549" width="11.375" style="73" customWidth="1"/>
    <col min="1550" max="1550" width="5.875" style="73" customWidth="1"/>
    <col min="1551" max="1552" width="9" style="73"/>
    <col min="1553" max="1553" width="6.125" style="73" customWidth="1"/>
    <col min="1554" max="1554" width="19.5" style="73" customWidth="1"/>
    <col min="1555" max="1785" width="9" style="73"/>
    <col min="1786" max="1786" width="6.875" style="73" customWidth="1"/>
    <col min="1787" max="1787" width="7.5" style="73" customWidth="1"/>
    <col min="1788" max="1788" width="6.75" style="73" customWidth="1"/>
    <col min="1789" max="1789" width="8.375" style="73" customWidth="1"/>
    <col min="1790" max="1790" width="4.5" style="73" customWidth="1"/>
    <col min="1791" max="1791" width="8.25" style="73" customWidth="1"/>
    <col min="1792" max="1792" width="3.75" style="73" customWidth="1"/>
    <col min="1793" max="1793" width="7.75" style="73" customWidth="1"/>
    <col min="1794" max="1794" width="3.75" style="73" customWidth="1"/>
    <col min="1795" max="1795" width="7.75" style="73" customWidth="1"/>
    <col min="1796" max="1796" width="3.75" style="73" customWidth="1"/>
    <col min="1797" max="1797" width="7.75" style="73" customWidth="1"/>
    <col min="1798" max="1798" width="3.75" style="73" customWidth="1"/>
    <col min="1799" max="1799" width="6.25" style="73" customWidth="1"/>
    <col min="1800" max="1800" width="9" style="73"/>
    <col min="1801" max="1801" width="12.625" style="73" customWidth="1"/>
    <col min="1802" max="1802" width="19.125" style="73" customWidth="1"/>
    <col min="1803" max="1803" width="4.75" style="73" customWidth="1"/>
    <col min="1804" max="1804" width="9.875" style="73" customWidth="1"/>
    <col min="1805" max="1805" width="11.375" style="73" customWidth="1"/>
    <col min="1806" max="1806" width="5.875" style="73" customWidth="1"/>
    <col min="1807" max="1808" width="9" style="73"/>
    <col min="1809" max="1809" width="6.125" style="73" customWidth="1"/>
    <col min="1810" max="1810" width="19.5" style="73" customWidth="1"/>
    <col min="1811" max="2041" width="9" style="73"/>
    <col min="2042" max="2042" width="6.875" style="73" customWidth="1"/>
    <col min="2043" max="2043" width="7.5" style="73" customWidth="1"/>
    <col min="2044" max="2044" width="6.75" style="73" customWidth="1"/>
    <col min="2045" max="2045" width="8.375" style="73" customWidth="1"/>
    <col min="2046" max="2046" width="4.5" style="73" customWidth="1"/>
    <col min="2047" max="2047" width="8.25" style="73" customWidth="1"/>
    <col min="2048" max="2048" width="3.75" style="73" customWidth="1"/>
    <col min="2049" max="2049" width="7.75" style="73" customWidth="1"/>
    <col min="2050" max="2050" width="3.75" style="73" customWidth="1"/>
    <col min="2051" max="2051" width="7.75" style="73" customWidth="1"/>
    <col min="2052" max="2052" width="3.75" style="73" customWidth="1"/>
    <col min="2053" max="2053" width="7.75" style="73" customWidth="1"/>
    <col min="2054" max="2054" width="3.75" style="73" customWidth="1"/>
    <col min="2055" max="2055" width="6.25" style="73" customWidth="1"/>
    <col min="2056" max="2056" width="9" style="73"/>
    <col min="2057" max="2057" width="12.625" style="73" customWidth="1"/>
    <col min="2058" max="2058" width="19.125" style="73" customWidth="1"/>
    <col min="2059" max="2059" width="4.75" style="73" customWidth="1"/>
    <col min="2060" max="2060" width="9.875" style="73" customWidth="1"/>
    <col min="2061" max="2061" width="11.375" style="73" customWidth="1"/>
    <col min="2062" max="2062" width="5.875" style="73" customWidth="1"/>
    <col min="2063" max="2064" width="9" style="73"/>
    <col min="2065" max="2065" width="6.125" style="73" customWidth="1"/>
    <col min="2066" max="2066" width="19.5" style="73" customWidth="1"/>
    <col min="2067" max="2297" width="9" style="73"/>
    <col min="2298" max="2298" width="6.875" style="73" customWidth="1"/>
    <col min="2299" max="2299" width="7.5" style="73" customWidth="1"/>
    <col min="2300" max="2300" width="6.75" style="73" customWidth="1"/>
    <col min="2301" max="2301" width="8.375" style="73" customWidth="1"/>
    <col min="2302" max="2302" width="4.5" style="73" customWidth="1"/>
    <col min="2303" max="2303" width="8.25" style="73" customWidth="1"/>
    <col min="2304" max="2304" width="3.75" style="73" customWidth="1"/>
    <col min="2305" max="2305" width="7.75" style="73" customWidth="1"/>
    <col min="2306" max="2306" width="3.75" style="73" customWidth="1"/>
    <col min="2307" max="2307" width="7.75" style="73" customWidth="1"/>
    <col min="2308" max="2308" width="3.75" style="73" customWidth="1"/>
    <col min="2309" max="2309" width="7.75" style="73" customWidth="1"/>
    <col min="2310" max="2310" width="3.75" style="73" customWidth="1"/>
    <col min="2311" max="2311" width="6.25" style="73" customWidth="1"/>
    <col min="2312" max="2312" width="9" style="73"/>
    <col min="2313" max="2313" width="12.625" style="73" customWidth="1"/>
    <col min="2314" max="2314" width="19.125" style="73" customWidth="1"/>
    <col min="2315" max="2315" width="4.75" style="73" customWidth="1"/>
    <col min="2316" max="2316" width="9.875" style="73" customWidth="1"/>
    <col min="2317" max="2317" width="11.375" style="73" customWidth="1"/>
    <col min="2318" max="2318" width="5.875" style="73" customWidth="1"/>
    <col min="2319" max="2320" width="9" style="73"/>
    <col min="2321" max="2321" width="6.125" style="73" customWidth="1"/>
    <col min="2322" max="2322" width="19.5" style="73" customWidth="1"/>
    <col min="2323" max="2553" width="9" style="73"/>
    <col min="2554" max="2554" width="6.875" style="73" customWidth="1"/>
    <col min="2555" max="2555" width="7.5" style="73" customWidth="1"/>
    <col min="2556" max="2556" width="6.75" style="73" customWidth="1"/>
    <col min="2557" max="2557" width="8.375" style="73" customWidth="1"/>
    <col min="2558" max="2558" width="4.5" style="73" customWidth="1"/>
    <col min="2559" max="2559" width="8.25" style="73" customWidth="1"/>
    <col min="2560" max="2560" width="3.75" style="73" customWidth="1"/>
    <col min="2561" max="2561" width="7.75" style="73" customWidth="1"/>
    <col min="2562" max="2562" width="3.75" style="73" customWidth="1"/>
    <col min="2563" max="2563" width="7.75" style="73" customWidth="1"/>
    <col min="2564" max="2564" width="3.75" style="73" customWidth="1"/>
    <col min="2565" max="2565" width="7.75" style="73" customWidth="1"/>
    <col min="2566" max="2566" width="3.75" style="73" customWidth="1"/>
    <col min="2567" max="2567" width="6.25" style="73" customWidth="1"/>
    <col min="2568" max="2568" width="9" style="73"/>
    <col min="2569" max="2569" width="12.625" style="73" customWidth="1"/>
    <col min="2570" max="2570" width="19.125" style="73" customWidth="1"/>
    <col min="2571" max="2571" width="4.75" style="73" customWidth="1"/>
    <col min="2572" max="2572" width="9.875" style="73" customWidth="1"/>
    <col min="2573" max="2573" width="11.375" style="73" customWidth="1"/>
    <col min="2574" max="2574" width="5.875" style="73" customWidth="1"/>
    <col min="2575" max="2576" width="9" style="73"/>
    <col min="2577" max="2577" width="6.125" style="73" customWidth="1"/>
    <col min="2578" max="2578" width="19.5" style="73" customWidth="1"/>
    <col min="2579" max="2809" width="9" style="73"/>
    <col min="2810" max="2810" width="6.875" style="73" customWidth="1"/>
    <col min="2811" max="2811" width="7.5" style="73" customWidth="1"/>
    <col min="2812" max="2812" width="6.75" style="73" customWidth="1"/>
    <col min="2813" max="2813" width="8.375" style="73" customWidth="1"/>
    <col min="2814" max="2814" width="4.5" style="73" customWidth="1"/>
    <col min="2815" max="2815" width="8.25" style="73" customWidth="1"/>
    <col min="2816" max="2816" width="3.75" style="73" customWidth="1"/>
    <col min="2817" max="2817" width="7.75" style="73" customWidth="1"/>
    <col min="2818" max="2818" width="3.75" style="73" customWidth="1"/>
    <col min="2819" max="2819" width="7.75" style="73" customWidth="1"/>
    <col min="2820" max="2820" width="3.75" style="73" customWidth="1"/>
    <col min="2821" max="2821" width="7.75" style="73" customWidth="1"/>
    <col min="2822" max="2822" width="3.75" style="73" customWidth="1"/>
    <col min="2823" max="2823" width="6.25" style="73" customWidth="1"/>
    <col min="2824" max="2824" width="9" style="73"/>
    <col min="2825" max="2825" width="12.625" style="73" customWidth="1"/>
    <col min="2826" max="2826" width="19.125" style="73" customWidth="1"/>
    <col min="2827" max="2827" width="4.75" style="73" customWidth="1"/>
    <col min="2828" max="2828" width="9.875" style="73" customWidth="1"/>
    <col min="2829" max="2829" width="11.375" style="73" customWidth="1"/>
    <col min="2830" max="2830" width="5.875" style="73" customWidth="1"/>
    <col min="2831" max="2832" width="9" style="73"/>
    <col min="2833" max="2833" width="6.125" style="73" customWidth="1"/>
    <col min="2834" max="2834" width="19.5" style="73" customWidth="1"/>
    <col min="2835" max="3065" width="9" style="73"/>
    <col min="3066" max="3066" width="6.875" style="73" customWidth="1"/>
    <col min="3067" max="3067" width="7.5" style="73" customWidth="1"/>
    <col min="3068" max="3068" width="6.75" style="73" customWidth="1"/>
    <col min="3069" max="3069" width="8.375" style="73" customWidth="1"/>
    <col min="3070" max="3070" width="4.5" style="73" customWidth="1"/>
    <col min="3071" max="3071" width="8.25" style="73" customWidth="1"/>
    <col min="3072" max="3072" width="3.75" style="73" customWidth="1"/>
    <col min="3073" max="3073" width="7.75" style="73" customWidth="1"/>
    <col min="3074" max="3074" width="3.75" style="73" customWidth="1"/>
    <col min="3075" max="3075" width="7.75" style="73" customWidth="1"/>
    <col min="3076" max="3076" width="3.75" style="73" customWidth="1"/>
    <col min="3077" max="3077" width="7.75" style="73" customWidth="1"/>
    <col min="3078" max="3078" width="3.75" style="73" customWidth="1"/>
    <col min="3079" max="3079" width="6.25" style="73" customWidth="1"/>
    <col min="3080" max="3080" width="9" style="73"/>
    <col min="3081" max="3081" width="12.625" style="73" customWidth="1"/>
    <col min="3082" max="3082" width="19.125" style="73" customWidth="1"/>
    <col min="3083" max="3083" width="4.75" style="73" customWidth="1"/>
    <col min="3084" max="3084" width="9.875" style="73" customWidth="1"/>
    <col min="3085" max="3085" width="11.375" style="73" customWidth="1"/>
    <col min="3086" max="3086" width="5.875" style="73" customWidth="1"/>
    <col min="3087" max="3088" width="9" style="73"/>
    <col min="3089" max="3089" width="6.125" style="73" customWidth="1"/>
    <col min="3090" max="3090" width="19.5" style="73" customWidth="1"/>
    <col min="3091" max="3321" width="9" style="73"/>
    <col min="3322" max="3322" width="6.875" style="73" customWidth="1"/>
    <col min="3323" max="3323" width="7.5" style="73" customWidth="1"/>
    <col min="3324" max="3324" width="6.75" style="73" customWidth="1"/>
    <col min="3325" max="3325" width="8.375" style="73" customWidth="1"/>
    <col min="3326" max="3326" width="4.5" style="73" customWidth="1"/>
    <col min="3327" max="3327" width="8.25" style="73" customWidth="1"/>
    <col min="3328" max="3328" width="3.75" style="73" customWidth="1"/>
    <col min="3329" max="3329" width="7.75" style="73" customWidth="1"/>
    <col min="3330" max="3330" width="3.75" style="73" customWidth="1"/>
    <col min="3331" max="3331" width="7.75" style="73" customWidth="1"/>
    <col min="3332" max="3332" width="3.75" style="73" customWidth="1"/>
    <col min="3333" max="3333" width="7.75" style="73" customWidth="1"/>
    <col min="3334" max="3334" width="3.75" style="73" customWidth="1"/>
    <col min="3335" max="3335" width="6.25" style="73" customWidth="1"/>
    <col min="3336" max="3336" width="9" style="73"/>
    <col min="3337" max="3337" width="12.625" style="73" customWidth="1"/>
    <col min="3338" max="3338" width="19.125" style="73" customWidth="1"/>
    <col min="3339" max="3339" width="4.75" style="73" customWidth="1"/>
    <col min="3340" max="3340" width="9.875" style="73" customWidth="1"/>
    <col min="3341" max="3341" width="11.375" style="73" customWidth="1"/>
    <col min="3342" max="3342" width="5.875" style="73" customWidth="1"/>
    <col min="3343" max="3344" width="9" style="73"/>
    <col min="3345" max="3345" width="6.125" style="73" customWidth="1"/>
    <col min="3346" max="3346" width="19.5" style="73" customWidth="1"/>
    <col min="3347" max="3577" width="9" style="73"/>
    <col min="3578" max="3578" width="6.875" style="73" customWidth="1"/>
    <col min="3579" max="3579" width="7.5" style="73" customWidth="1"/>
    <col min="3580" max="3580" width="6.75" style="73" customWidth="1"/>
    <col min="3581" max="3581" width="8.375" style="73" customWidth="1"/>
    <col min="3582" max="3582" width="4.5" style="73" customWidth="1"/>
    <col min="3583" max="3583" width="8.25" style="73" customWidth="1"/>
    <col min="3584" max="3584" width="3.75" style="73" customWidth="1"/>
    <col min="3585" max="3585" width="7.75" style="73" customWidth="1"/>
    <col min="3586" max="3586" width="3.75" style="73" customWidth="1"/>
    <col min="3587" max="3587" width="7.75" style="73" customWidth="1"/>
    <col min="3588" max="3588" width="3.75" style="73" customWidth="1"/>
    <col min="3589" max="3589" width="7.75" style="73" customWidth="1"/>
    <col min="3590" max="3590" width="3.75" style="73" customWidth="1"/>
    <col min="3591" max="3591" width="6.25" style="73" customWidth="1"/>
    <col min="3592" max="3592" width="9" style="73"/>
    <col min="3593" max="3593" width="12.625" style="73" customWidth="1"/>
    <col min="3594" max="3594" width="19.125" style="73" customWidth="1"/>
    <col min="3595" max="3595" width="4.75" style="73" customWidth="1"/>
    <col min="3596" max="3596" width="9.875" style="73" customWidth="1"/>
    <col min="3597" max="3597" width="11.375" style="73" customWidth="1"/>
    <col min="3598" max="3598" width="5.875" style="73" customWidth="1"/>
    <col min="3599" max="3600" width="9" style="73"/>
    <col min="3601" max="3601" width="6.125" style="73" customWidth="1"/>
    <col min="3602" max="3602" width="19.5" style="73" customWidth="1"/>
    <col min="3603" max="3833" width="9" style="73"/>
    <col min="3834" max="3834" width="6.875" style="73" customWidth="1"/>
    <col min="3835" max="3835" width="7.5" style="73" customWidth="1"/>
    <col min="3836" max="3836" width="6.75" style="73" customWidth="1"/>
    <col min="3837" max="3837" width="8.375" style="73" customWidth="1"/>
    <col min="3838" max="3838" width="4.5" style="73" customWidth="1"/>
    <col min="3839" max="3839" width="8.25" style="73" customWidth="1"/>
    <col min="3840" max="3840" width="3.75" style="73" customWidth="1"/>
    <col min="3841" max="3841" width="7.75" style="73" customWidth="1"/>
    <col min="3842" max="3842" width="3.75" style="73" customWidth="1"/>
    <col min="3843" max="3843" width="7.75" style="73" customWidth="1"/>
    <col min="3844" max="3844" width="3.75" style="73" customWidth="1"/>
    <col min="3845" max="3845" width="7.75" style="73" customWidth="1"/>
    <col min="3846" max="3846" width="3.75" style="73" customWidth="1"/>
    <col min="3847" max="3847" width="6.25" style="73" customWidth="1"/>
    <col min="3848" max="3848" width="9" style="73"/>
    <col min="3849" max="3849" width="12.625" style="73" customWidth="1"/>
    <col min="3850" max="3850" width="19.125" style="73" customWidth="1"/>
    <col min="3851" max="3851" width="4.75" style="73" customWidth="1"/>
    <col min="3852" max="3852" width="9.875" style="73" customWidth="1"/>
    <col min="3853" max="3853" width="11.375" style="73" customWidth="1"/>
    <col min="3854" max="3854" width="5.875" style="73" customWidth="1"/>
    <col min="3855" max="3856" width="9" style="73"/>
    <col min="3857" max="3857" width="6.125" style="73" customWidth="1"/>
    <col min="3858" max="3858" width="19.5" style="73" customWidth="1"/>
    <col min="3859" max="4089" width="9" style="73"/>
    <col min="4090" max="4090" width="6.875" style="73" customWidth="1"/>
    <col min="4091" max="4091" width="7.5" style="73" customWidth="1"/>
    <col min="4092" max="4092" width="6.75" style="73" customWidth="1"/>
    <col min="4093" max="4093" width="8.375" style="73" customWidth="1"/>
    <col min="4094" max="4094" width="4.5" style="73" customWidth="1"/>
    <col min="4095" max="4095" width="8.25" style="73" customWidth="1"/>
    <col min="4096" max="4096" width="3.75" style="73" customWidth="1"/>
    <col min="4097" max="4097" width="7.75" style="73" customWidth="1"/>
    <col min="4098" max="4098" width="3.75" style="73" customWidth="1"/>
    <col min="4099" max="4099" width="7.75" style="73" customWidth="1"/>
    <col min="4100" max="4100" width="3.75" style="73" customWidth="1"/>
    <col min="4101" max="4101" width="7.75" style="73" customWidth="1"/>
    <col min="4102" max="4102" width="3.75" style="73" customWidth="1"/>
    <col min="4103" max="4103" width="6.25" style="73" customWidth="1"/>
    <col min="4104" max="4104" width="9" style="73"/>
    <col min="4105" max="4105" width="12.625" style="73" customWidth="1"/>
    <col min="4106" max="4106" width="19.125" style="73" customWidth="1"/>
    <col min="4107" max="4107" width="4.75" style="73" customWidth="1"/>
    <col min="4108" max="4108" width="9.875" style="73" customWidth="1"/>
    <col min="4109" max="4109" width="11.375" style="73" customWidth="1"/>
    <col min="4110" max="4110" width="5.875" style="73" customWidth="1"/>
    <col min="4111" max="4112" width="9" style="73"/>
    <col min="4113" max="4113" width="6.125" style="73" customWidth="1"/>
    <col min="4114" max="4114" width="19.5" style="73" customWidth="1"/>
    <col min="4115" max="4345" width="9" style="73"/>
    <col min="4346" max="4346" width="6.875" style="73" customWidth="1"/>
    <col min="4347" max="4347" width="7.5" style="73" customWidth="1"/>
    <col min="4348" max="4348" width="6.75" style="73" customWidth="1"/>
    <col min="4349" max="4349" width="8.375" style="73" customWidth="1"/>
    <col min="4350" max="4350" width="4.5" style="73" customWidth="1"/>
    <col min="4351" max="4351" width="8.25" style="73" customWidth="1"/>
    <col min="4352" max="4352" width="3.75" style="73" customWidth="1"/>
    <col min="4353" max="4353" width="7.75" style="73" customWidth="1"/>
    <col min="4354" max="4354" width="3.75" style="73" customWidth="1"/>
    <col min="4355" max="4355" width="7.75" style="73" customWidth="1"/>
    <col min="4356" max="4356" width="3.75" style="73" customWidth="1"/>
    <col min="4357" max="4357" width="7.75" style="73" customWidth="1"/>
    <col min="4358" max="4358" width="3.75" style="73" customWidth="1"/>
    <col min="4359" max="4359" width="6.25" style="73" customWidth="1"/>
    <col min="4360" max="4360" width="9" style="73"/>
    <col min="4361" max="4361" width="12.625" style="73" customWidth="1"/>
    <col min="4362" max="4362" width="19.125" style="73" customWidth="1"/>
    <col min="4363" max="4363" width="4.75" style="73" customWidth="1"/>
    <col min="4364" max="4364" width="9.875" style="73" customWidth="1"/>
    <col min="4365" max="4365" width="11.375" style="73" customWidth="1"/>
    <col min="4366" max="4366" width="5.875" style="73" customWidth="1"/>
    <col min="4367" max="4368" width="9" style="73"/>
    <col min="4369" max="4369" width="6.125" style="73" customWidth="1"/>
    <col min="4370" max="4370" width="19.5" style="73" customWidth="1"/>
    <col min="4371" max="4601" width="9" style="73"/>
    <col min="4602" max="4602" width="6.875" style="73" customWidth="1"/>
    <col min="4603" max="4603" width="7.5" style="73" customWidth="1"/>
    <col min="4604" max="4604" width="6.75" style="73" customWidth="1"/>
    <col min="4605" max="4605" width="8.375" style="73" customWidth="1"/>
    <col min="4606" max="4606" width="4.5" style="73" customWidth="1"/>
    <col min="4607" max="4607" width="8.25" style="73" customWidth="1"/>
    <col min="4608" max="4608" width="3.75" style="73" customWidth="1"/>
    <col min="4609" max="4609" width="7.75" style="73" customWidth="1"/>
    <col min="4610" max="4610" width="3.75" style="73" customWidth="1"/>
    <col min="4611" max="4611" width="7.75" style="73" customWidth="1"/>
    <col min="4612" max="4612" width="3.75" style="73" customWidth="1"/>
    <col min="4613" max="4613" width="7.75" style="73" customWidth="1"/>
    <col min="4614" max="4614" width="3.75" style="73" customWidth="1"/>
    <col min="4615" max="4615" width="6.25" style="73" customWidth="1"/>
    <col min="4616" max="4616" width="9" style="73"/>
    <col min="4617" max="4617" width="12.625" style="73" customWidth="1"/>
    <col min="4618" max="4618" width="19.125" style="73" customWidth="1"/>
    <col min="4619" max="4619" width="4.75" style="73" customWidth="1"/>
    <col min="4620" max="4620" width="9.875" style="73" customWidth="1"/>
    <col min="4621" max="4621" width="11.375" style="73" customWidth="1"/>
    <col min="4622" max="4622" width="5.875" style="73" customWidth="1"/>
    <col min="4623" max="4624" width="9" style="73"/>
    <col min="4625" max="4625" width="6.125" style="73" customWidth="1"/>
    <col min="4626" max="4626" width="19.5" style="73" customWidth="1"/>
    <col min="4627" max="4857" width="9" style="73"/>
    <col min="4858" max="4858" width="6.875" style="73" customWidth="1"/>
    <col min="4859" max="4859" width="7.5" style="73" customWidth="1"/>
    <col min="4860" max="4860" width="6.75" style="73" customWidth="1"/>
    <col min="4861" max="4861" width="8.375" style="73" customWidth="1"/>
    <col min="4862" max="4862" width="4.5" style="73" customWidth="1"/>
    <col min="4863" max="4863" width="8.25" style="73" customWidth="1"/>
    <col min="4864" max="4864" width="3.75" style="73" customWidth="1"/>
    <col min="4865" max="4865" width="7.75" style="73" customWidth="1"/>
    <col min="4866" max="4866" width="3.75" style="73" customWidth="1"/>
    <col min="4867" max="4867" width="7.75" style="73" customWidth="1"/>
    <col min="4868" max="4868" width="3.75" style="73" customWidth="1"/>
    <col min="4869" max="4869" width="7.75" style="73" customWidth="1"/>
    <col min="4870" max="4870" width="3.75" style="73" customWidth="1"/>
    <col min="4871" max="4871" width="6.25" style="73" customWidth="1"/>
    <col min="4872" max="4872" width="9" style="73"/>
    <col min="4873" max="4873" width="12.625" style="73" customWidth="1"/>
    <col min="4874" max="4874" width="19.125" style="73" customWidth="1"/>
    <col min="4875" max="4875" width="4.75" style="73" customWidth="1"/>
    <col min="4876" max="4876" width="9.875" style="73" customWidth="1"/>
    <col min="4877" max="4877" width="11.375" style="73" customWidth="1"/>
    <col min="4878" max="4878" width="5.875" style="73" customWidth="1"/>
    <col min="4879" max="4880" width="9" style="73"/>
    <col min="4881" max="4881" width="6.125" style="73" customWidth="1"/>
    <col min="4882" max="4882" width="19.5" style="73" customWidth="1"/>
    <col min="4883" max="5113" width="9" style="73"/>
    <col min="5114" max="5114" width="6.875" style="73" customWidth="1"/>
    <col min="5115" max="5115" width="7.5" style="73" customWidth="1"/>
    <col min="5116" max="5116" width="6.75" style="73" customWidth="1"/>
    <col min="5117" max="5117" width="8.375" style="73" customWidth="1"/>
    <col min="5118" max="5118" width="4.5" style="73" customWidth="1"/>
    <col min="5119" max="5119" width="8.25" style="73" customWidth="1"/>
    <col min="5120" max="5120" width="3.75" style="73" customWidth="1"/>
    <col min="5121" max="5121" width="7.75" style="73" customWidth="1"/>
    <col min="5122" max="5122" width="3.75" style="73" customWidth="1"/>
    <col min="5123" max="5123" width="7.75" style="73" customWidth="1"/>
    <col min="5124" max="5124" width="3.75" style="73" customWidth="1"/>
    <col min="5125" max="5125" width="7.75" style="73" customWidth="1"/>
    <col min="5126" max="5126" width="3.75" style="73" customWidth="1"/>
    <col min="5127" max="5127" width="6.25" style="73" customWidth="1"/>
    <col min="5128" max="5128" width="9" style="73"/>
    <col min="5129" max="5129" width="12.625" style="73" customWidth="1"/>
    <col min="5130" max="5130" width="19.125" style="73" customWidth="1"/>
    <col min="5131" max="5131" width="4.75" style="73" customWidth="1"/>
    <col min="5132" max="5132" width="9.875" style="73" customWidth="1"/>
    <col min="5133" max="5133" width="11.375" style="73" customWidth="1"/>
    <col min="5134" max="5134" width="5.875" style="73" customWidth="1"/>
    <col min="5135" max="5136" width="9" style="73"/>
    <col min="5137" max="5137" width="6.125" style="73" customWidth="1"/>
    <col min="5138" max="5138" width="19.5" style="73" customWidth="1"/>
    <col min="5139" max="5369" width="9" style="73"/>
    <col min="5370" max="5370" width="6.875" style="73" customWidth="1"/>
    <col min="5371" max="5371" width="7.5" style="73" customWidth="1"/>
    <col min="5372" max="5372" width="6.75" style="73" customWidth="1"/>
    <col min="5373" max="5373" width="8.375" style="73" customWidth="1"/>
    <col min="5374" max="5374" width="4.5" style="73" customWidth="1"/>
    <col min="5375" max="5375" width="8.25" style="73" customWidth="1"/>
    <col min="5376" max="5376" width="3.75" style="73" customWidth="1"/>
    <col min="5377" max="5377" width="7.75" style="73" customWidth="1"/>
    <col min="5378" max="5378" width="3.75" style="73" customWidth="1"/>
    <col min="5379" max="5379" width="7.75" style="73" customWidth="1"/>
    <col min="5380" max="5380" width="3.75" style="73" customWidth="1"/>
    <col min="5381" max="5381" width="7.75" style="73" customWidth="1"/>
    <col min="5382" max="5382" width="3.75" style="73" customWidth="1"/>
    <col min="5383" max="5383" width="6.25" style="73" customWidth="1"/>
    <col min="5384" max="5384" width="9" style="73"/>
    <col min="5385" max="5385" width="12.625" style="73" customWidth="1"/>
    <col min="5386" max="5386" width="19.125" style="73" customWidth="1"/>
    <col min="5387" max="5387" width="4.75" style="73" customWidth="1"/>
    <col min="5388" max="5388" width="9.875" style="73" customWidth="1"/>
    <col min="5389" max="5389" width="11.375" style="73" customWidth="1"/>
    <col min="5390" max="5390" width="5.875" style="73" customWidth="1"/>
    <col min="5391" max="5392" width="9" style="73"/>
    <col min="5393" max="5393" width="6.125" style="73" customWidth="1"/>
    <col min="5394" max="5394" width="19.5" style="73" customWidth="1"/>
    <col min="5395" max="5625" width="9" style="73"/>
    <col min="5626" max="5626" width="6.875" style="73" customWidth="1"/>
    <col min="5627" max="5627" width="7.5" style="73" customWidth="1"/>
    <col min="5628" max="5628" width="6.75" style="73" customWidth="1"/>
    <col min="5629" max="5629" width="8.375" style="73" customWidth="1"/>
    <col min="5630" max="5630" width="4.5" style="73" customWidth="1"/>
    <col min="5631" max="5631" width="8.25" style="73" customWidth="1"/>
    <col min="5632" max="5632" width="3.75" style="73" customWidth="1"/>
    <col min="5633" max="5633" width="7.75" style="73" customWidth="1"/>
    <col min="5634" max="5634" width="3.75" style="73" customWidth="1"/>
    <col min="5635" max="5635" width="7.75" style="73" customWidth="1"/>
    <col min="5636" max="5636" width="3.75" style="73" customWidth="1"/>
    <col min="5637" max="5637" width="7.75" style="73" customWidth="1"/>
    <col min="5638" max="5638" width="3.75" style="73" customWidth="1"/>
    <col min="5639" max="5639" width="6.25" style="73" customWidth="1"/>
    <col min="5640" max="5640" width="9" style="73"/>
    <col min="5641" max="5641" width="12.625" style="73" customWidth="1"/>
    <col min="5642" max="5642" width="19.125" style="73" customWidth="1"/>
    <col min="5643" max="5643" width="4.75" style="73" customWidth="1"/>
    <col min="5644" max="5644" width="9.875" style="73" customWidth="1"/>
    <col min="5645" max="5645" width="11.375" style="73" customWidth="1"/>
    <col min="5646" max="5646" width="5.875" style="73" customWidth="1"/>
    <col min="5647" max="5648" width="9" style="73"/>
    <col min="5649" max="5649" width="6.125" style="73" customWidth="1"/>
    <col min="5650" max="5650" width="19.5" style="73" customWidth="1"/>
    <col min="5651" max="5881" width="9" style="73"/>
    <col min="5882" max="5882" width="6.875" style="73" customWidth="1"/>
    <col min="5883" max="5883" width="7.5" style="73" customWidth="1"/>
    <col min="5884" max="5884" width="6.75" style="73" customWidth="1"/>
    <col min="5885" max="5885" width="8.375" style="73" customWidth="1"/>
    <col min="5886" max="5886" width="4.5" style="73" customWidth="1"/>
    <col min="5887" max="5887" width="8.25" style="73" customWidth="1"/>
    <col min="5888" max="5888" width="3.75" style="73" customWidth="1"/>
    <col min="5889" max="5889" width="7.75" style="73" customWidth="1"/>
    <col min="5890" max="5890" width="3.75" style="73" customWidth="1"/>
    <col min="5891" max="5891" width="7.75" style="73" customWidth="1"/>
    <col min="5892" max="5892" width="3.75" style="73" customWidth="1"/>
    <col min="5893" max="5893" width="7.75" style="73" customWidth="1"/>
    <col min="5894" max="5894" width="3.75" style="73" customWidth="1"/>
    <col min="5895" max="5895" width="6.25" style="73" customWidth="1"/>
    <col min="5896" max="5896" width="9" style="73"/>
    <col min="5897" max="5897" width="12.625" style="73" customWidth="1"/>
    <col min="5898" max="5898" width="19.125" style="73" customWidth="1"/>
    <col min="5899" max="5899" width="4.75" style="73" customWidth="1"/>
    <col min="5900" max="5900" width="9.875" style="73" customWidth="1"/>
    <col min="5901" max="5901" width="11.375" style="73" customWidth="1"/>
    <col min="5902" max="5902" width="5.875" style="73" customWidth="1"/>
    <col min="5903" max="5904" width="9" style="73"/>
    <col min="5905" max="5905" width="6.125" style="73" customWidth="1"/>
    <col min="5906" max="5906" width="19.5" style="73" customWidth="1"/>
    <col min="5907" max="6137" width="9" style="73"/>
    <col min="6138" max="6138" width="6.875" style="73" customWidth="1"/>
    <col min="6139" max="6139" width="7.5" style="73" customWidth="1"/>
    <col min="6140" max="6140" width="6.75" style="73" customWidth="1"/>
    <col min="6141" max="6141" width="8.375" style="73" customWidth="1"/>
    <col min="6142" max="6142" width="4.5" style="73" customWidth="1"/>
    <col min="6143" max="6143" width="8.25" style="73" customWidth="1"/>
    <col min="6144" max="6144" width="3.75" style="73" customWidth="1"/>
    <col min="6145" max="6145" width="7.75" style="73" customWidth="1"/>
    <col min="6146" max="6146" width="3.75" style="73" customWidth="1"/>
    <col min="6147" max="6147" width="7.75" style="73" customWidth="1"/>
    <col min="6148" max="6148" width="3.75" style="73" customWidth="1"/>
    <col min="6149" max="6149" width="7.75" style="73" customWidth="1"/>
    <col min="6150" max="6150" width="3.75" style="73" customWidth="1"/>
    <col min="6151" max="6151" width="6.25" style="73" customWidth="1"/>
    <col min="6152" max="6152" width="9" style="73"/>
    <col min="6153" max="6153" width="12.625" style="73" customWidth="1"/>
    <col min="6154" max="6154" width="19.125" style="73" customWidth="1"/>
    <col min="6155" max="6155" width="4.75" style="73" customWidth="1"/>
    <col min="6156" max="6156" width="9.875" style="73" customWidth="1"/>
    <col min="6157" max="6157" width="11.375" style="73" customWidth="1"/>
    <col min="6158" max="6158" width="5.875" style="73" customWidth="1"/>
    <col min="6159" max="6160" width="9" style="73"/>
    <col min="6161" max="6161" width="6.125" style="73" customWidth="1"/>
    <col min="6162" max="6162" width="19.5" style="73" customWidth="1"/>
    <col min="6163" max="6393" width="9" style="73"/>
    <col min="6394" max="6394" width="6.875" style="73" customWidth="1"/>
    <col min="6395" max="6395" width="7.5" style="73" customWidth="1"/>
    <col min="6396" max="6396" width="6.75" style="73" customWidth="1"/>
    <col min="6397" max="6397" width="8.375" style="73" customWidth="1"/>
    <col min="6398" max="6398" width="4.5" style="73" customWidth="1"/>
    <col min="6399" max="6399" width="8.25" style="73" customWidth="1"/>
    <col min="6400" max="6400" width="3.75" style="73" customWidth="1"/>
    <col min="6401" max="6401" width="7.75" style="73" customWidth="1"/>
    <col min="6402" max="6402" width="3.75" style="73" customWidth="1"/>
    <col min="6403" max="6403" width="7.75" style="73" customWidth="1"/>
    <col min="6404" max="6404" width="3.75" style="73" customWidth="1"/>
    <col min="6405" max="6405" width="7.75" style="73" customWidth="1"/>
    <col min="6406" max="6406" width="3.75" style="73" customWidth="1"/>
    <col min="6407" max="6407" width="6.25" style="73" customWidth="1"/>
    <col min="6408" max="6408" width="9" style="73"/>
    <col min="6409" max="6409" width="12.625" style="73" customWidth="1"/>
    <col min="6410" max="6410" width="19.125" style="73" customWidth="1"/>
    <col min="6411" max="6411" width="4.75" style="73" customWidth="1"/>
    <col min="6412" max="6412" width="9.875" style="73" customWidth="1"/>
    <col min="6413" max="6413" width="11.375" style="73" customWidth="1"/>
    <col min="6414" max="6414" width="5.875" style="73" customWidth="1"/>
    <col min="6415" max="6416" width="9" style="73"/>
    <col min="6417" max="6417" width="6.125" style="73" customWidth="1"/>
    <col min="6418" max="6418" width="19.5" style="73" customWidth="1"/>
    <col min="6419" max="6649" width="9" style="73"/>
    <col min="6650" max="6650" width="6.875" style="73" customWidth="1"/>
    <col min="6651" max="6651" width="7.5" style="73" customWidth="1"/>
    <col min="6652" max="6652" width="6.75" style="73" customWidth="1"/>
    <col min="6653" max="6653" width="8.375" style="73" customWidth="1"/>
    <col min="6654" max="6654" width="4.5" style="73" customWidth="1"/>
    <col min="6655" max="6655" width="8.25" style="73" customWidth="1"/>
    <col min="6656" max="6656" width="3.75" style="73" customWidth="1"/>
    <col min="6657" max="6657" width="7.75" style="73" customWidth="1"/>
    <col min="6658" max="6658" width="3.75" style="73" customWidth="1"/>
    <col min="6659" max="6659" width="7.75" style="73" customWidth="1"/>
    <col min="6660" max="6660" width="3.75" style="73" customWidth="1"/>
    <col min="6661" max="6661" width="7.75" style="73" customWidth="1"/>
    <col min="6662" max="6662" width="3.75" style="73" customWidth="1"/>
    <col min="6663" max="6663" width="6.25" style="73" customWidth="1"/>
    <col min="6664" max="6664" width="9" style="73"/>
    <col min="6665" max="6665" width="12.625" style="73" customWidth="1"/>
    <col min="6666" max="6666" width="19.125" style="73" customWidth="1"/>
    <col min="6667" max="6667" width="4.75" style="73" customWidth="1"/>
    <col min="6668" max="6668" width="9.875" style="73" customWidth="1"/>
    <col min="6669" max="6669" width="11.375" style="73" customWidth="1"/>
    <col min="6670" max="6670" width="5.875" style="73" customWidth="1"/>
    <col min="6671" max="6672" width="9" style="73"/>
    <col min="6673" max="6673" width="6.125" style="73" customWidth="1"/>
    <col min="6674" max="6674" width="19.5" style="73" customWidth="1"/>
    <col min="6675" max="6905" width="9" style="73"/>
    <col min="6906" max="6906" width="6.875" style="73" customWidth="1"/>
    <col min="6907" max="6907" width="7.5" style="73" customWidth="1"/>
    <col min="6908" max="6908" width="6.75" style="73" customWidth="1"/>
    <col min="6909" max="6909" width="8.375" style="73" customWidth="1"/>
    <col min="6910" max="6910" width="4.5" style="73" customWidth="1"/>
    <col min="6911" max="6911" width="8.25" style="73" customWidth="1"/>
    <col min="6912" max="6912" width="3.75" style="73" customWidth="1"/>
    <col min="6913" max="6913" width="7.75" style="73" customWidth="1"/>
    <col min="6914" max="6914" width="3.75" style="73" customWidth="1"/>
    <col min="6915" max="6915" width="7.75" style="73" customWidth="1"/>
    <col min="6916" max="6916" width="3.75" style="73" customWidth="1"/>
    <col min="6917" max="6917" width="7.75" style="73" customWidth="1"/>
    <col min="6918" max="6918" width="3.75" style="73" customWidth="1"/>
    <col min="6919" max="6919" width="6.25" style="73" customWidth="1"/>
    <col min="6920" max="6920" width="9" style="73"/>
    <col min="6921" max="6921" width="12.625" style="73" customWidth="1"/>
    <col min="6922" max="6922" width="19.125" style="73" customWidth="1"/>
    <col min="6923" max="6923" width="4.75" style="73" customWidth="1"/>
    <col min="6924" max="6924" width="9.875" style="73" customWidth="1"/>
    <col min="6925" max="6925" width="11.375" style="73" customWidth="1"/>
    <col min="6926" max="6926" width="5.875" style="73" customWidth="1"/>
    <col min="6927" max="6928" width="9" style="73"/>
    <col min="6929" max="6929" width="6.125" style="73" customWidth="1"/>
    <col min="6930" max="6930" width="19.5" style="73" customWidth="1"/>
    <col min="6931" max="7161" width="9" style="73"/>
    <col min="7162" max="7162" width="6.875" style="73" customWidth="1"/>
    <col min="7163" max="7163" width="7.5" style="73" customWidth="1"/>
    <col min="7164" max="7164" width="6.75" style="73" customWidth="1"/>
    <col min="7165" max="7165" width="8.375" style="73" customWidth="1"/>
    <col min="7166" max="7166" width="4.5" style="73" customWidth="1"/>
    <col min="7167" max="7167" width="8.25" style="73" customWidth="1"/>
    <col min="7168" max="7168" width="3.75" style="73" customWidth="1"/>
    <col min="7169" max="7169" width="7.75" style="73" customWidth="1"/>
    <col min="7170" max="7170" width="3.75" style="73" customWidth="1"/>
    <col min="7171" max="7171" width="7.75" style="73" customWidth="1"/>
    <col min="7172" max="7172" width="3.75" style="73" customWidth="1"/>
    <col min="7173" max="7173" width="7.75" style="73" customWidth="1"/>
    <col min="7174" max="7174" width="3.75" style="73" customWidth="1"/>
    <col min="7175" max="7175" width="6.25" style="73" customWidth="1"/>
    <col min="7176" max="7176" width="9" style="73"/>
    <col min="7177" max="7177" width="12.625" style="73" customWidth="1"/>
    <col min="7178" max="7178" width="19.125" style="73" customWidth="1"/>
    <col min="7179" max="7179" width="4.75" style="73" customWidth="1"/>
    <col min="7180" max="7180" width="9.875" style="73" customWidth="1"/>
    <col min="7181" max="7181" width="11.375" style="73" customWidth="1"/>
    <col min="7182" max="7182" width="5.875" style="73" customWidth="1"/>
    <col min="7183" max="7184" width="9" style="73"/>
    <col min="7185" max="7185" width="6.125" style="73" customWidth="1"/>
    <col min="7186" max="7186" width="19.5" style="73" customWidth="1"/>
    <col min="7187" max="7417" width="9" style="73"/>
    <col min="7418" max="7418" width="6.875" style="73" customWidth="1"/>
    <col min="7419" max="7419" width="7.5" style="73" customWidth="1"/>
    <col min="7420" max="7420" width="6.75" style="73" customWidth="1"/>
    <col min="7421" max="7421" width="8.375" style="73" customWidth="1"/>
    <col min="7422" max="7422" width="4.5" style="73" customWidth="1"/>
    <col min="7423" max="7423" width="8.25" style="73" customWidth="1"/>
    <col min="7424" max="7424" width="3.75" style="73" customWidth="1"/>
    <col min="7425" max="7425" width="7.75" style="73" customWidth="1"/>
    <col min="7426" max="7426" width="3.75" style="73" customWidth="1"/>
    <col min="7427" max="7427" width="7.75" style="73" customWidth="1"/>
    <col min="7428" max="7428" width="3.75" style="73" customWidth="1"/>
    <col min="7429" max="7429" width="7.75" style="73" customWidth="1"/>
    <col min="7430" max="7430" width="3.75" style="73" customWidth="1"/>
    <col min="7431" max="7431" width="6.25" style="73" customWidth="1"/>
    <col min="7432" max="7432" width="9" style="73"/>
    <col min="7433" max="7433" width="12.625" style="73" customWidth="1"/>
    <col min="7434" max="7434" width="19.125" style="73" customWidth="1"/>
    <col min="7435" max="7435" width="4.75" style="73" customWidth="1"/>
    <col min="7436" max="7436" width="9.875" style="73" customWidth="1"/>
    <col min="7437" max="7437" width="11.375" style="73" customWidth="1"/>
    <col min="7438" max="7438" width="5.875" style="73" customWidth="1"/>
    <col min="7439" max="7440" width="9" style="73"/>
    <col min="7441" max="7441" width="6.125" style="73" customWidth="1"/>
    <col min="7442" max="7442" width="19.5" style="73" customWidth="1"/>
    <col min="7443" max="7673" width="9" style="73"/>
    <col min="7674" max="7674" width="6.875" style="73" customWidth="1"/>
    <col min="7675" max="7675" width="7.5" style="73" customWidth="1"/>
    <col min="7676" max="7676" width="6.75" style="73" customWidth="1"/>
    <col min="7677" max="7677" width="8.375" style="73" customWidth="1"/>
    <col min="7678" max="7678" width="4.5" style="73" customWidth="1"/>
    <col min="7679" max="7679" width="8.25" style="73" customWidth="1"/>
    <col min="7680" max="7680" width="3.75" style="73" customWidth="1"/>
    <col min="7681" max="7681" width="7.75" style="73" customWidth="1"/>
    <col min="7682" max="7682" width="3.75" style="73" customWidth="1"/>
    <col min="7683" max="7683" width="7.75" style="73" customWidth="1"/>
    <col min="7684" max="7684" width="3.75" style="73" customWidth="1"/>
    <col min="7685" max="7685" width="7.75" style="73" customWidth="1"/>
    <col min="7686" max="7686" width="3.75" style="73" customWidth="1"/>
    <col min="7687" max="7687" width="6.25" style="73" customWidth="1"/>
    <col min="7688" max="7688" width="9" style="73"/>
    <col min="7689" max="7689" width="12.625" style="73" customWidth="1"/>
    <col min="7690" max="7690" width="19.125" style="73" customWidth="1"/>
    <col min="7691" max="7691" width="4.75" style="73" customWidth="1"/>
    <col min="7692" max="7692" width="9.875" style="73" customWidth="1"/>
    <col min="7693" max="7693" width="11.375" style="73" customWidth="1"/>
    <col min="7694" max="7694" width="5.875" style="73" customWidth="1"/>
    <col min="7695" max="7696" width="9" style="73"/>
    <col min="7697" max="7697" width="6.125" style="73" customWidth="1"/>
    <col min="7698" max="7698" width="19.5" style="73" customWidth="1"/>
    <col min="7699" max="7929" width="9" style="73"/>
    <col min="7930" max="7930" width="6.875" style="73" customWidth="1"/>
    <col min="7931" max="7931" width="7.5" style="73" customWidth="1"/>
    <col min="7932" max="7932" width="6.75" style="73" customWidth="1"/>
    <col min="7933" max="7933" width="8.375" style="73" customWidth="1"/>
    <col min="7934" max="7934" width="4.5" style="73" customWidth="1"/>
    <col min="7935" max="7935" width="8.25" style="73" customWidth="1"/>
    <col min="7936" max="7936" width="3.75" style="73" customWidth="1"/>
    <col min="7937" max="7937" width="7.75" style="73" customWidth="1"/>
    <col min="7938" max="7938" width="3.75" style="73" customWidth="1"/>
    <col min="7939" max="7939" width="7.75" style="73" customWidth="1"/>
    <col min="7940" max="7940" width="3.75" style="73" customWidth="1"/>
    <col min="7941" max="7941" width="7.75" style="73" customWidth="1"/>
    <col min="7942" max="7942" width="3.75" style="73" customWidth="1"/>
    <col min="7943" max="7943" width="6.25" style="73" customWidth="1"/>
    <col min="7944" max="7944" width="9" style="73"/>
    <col min="7945" max="7945" width="12.625" style="73" customWidth="1"/>
    <col min="7946" max="7946" width="19.125" style="73" customWidth="1"/>
    <col min="7947" max="7947" width="4.75" style="73" customWidth="1"/>
    <col min="7948" max="7948" width="9.875" style="73" customWidth="1"/>
    <col min="7949" max="7949" width="11.375" style="73" customWidth="1"/>
    <col min="7950" max="7950" width="5.875" style="73" customWidth="1"/>
    <col min="7951" max="7952" width="9" style="73"/>
    <col min="7953" max="7953" width="6.125" style="73" customWidth="1"/>
    <col min="7954" max="7954" width="19.5" style="73" customWidth="1"/>
    <col min="7955" max="8185" width="9" style="73"/>
    <col min="8186" max="8186" width="6.875" style="73" customWidth="1"/>
    <col min="8187" max="8187" width="7.5" style="73" customWidth="1"/>
    <col min="8188" max="8188" width="6.75" style="73" customWidth="1"/>
    <col min="8189" max="8189" width="8.375" style="73" customWidth="1"/>
    <col min="8190" max="8190" width="4.5" style="73" customWidth="1"/>
    <col min="8191" max="8191" width="8.25" style="73" customWidth="1"/>
    <col min="8192" max="8192" width="3.75" style="73" customWidth="1"/>
    <col min="8193" max="8193" width="7.75" style="73" customWidth="1"/>
    <col min="8194" max="8194" width="3.75" style="73" customWidth="1"/>
    <col min="8195" max="8195" width="7.75" style="73" customWidth="1"/>
    <col min="8196" max="8196" width="3.75" style="73" customWidth="1"/>
    <col min="8197" max="8197" width="7.75" style="73" customWidth="1"/>
    <col min="8198" max="8198" width="3.75" style="73" customWidth="1"/>
    <col min="8199" max="8199" width="6.25" style="73" customWidth="1"/>
    <col min="8200" max="8200" width="9" style="73"/>
    <col min="8201" max="8201" width="12.625" style="73" customWidth="1"/>
    <col min="8202" max="8202" width="19.125" style="73" customWidth="1"/>
    <col min="8203" max="8203" width="4.75" style="73" customWidth="1"/>
    <col min="8204" max="8204" width="9.875" style="73" customWidth="1"/>
    <col min="8205" max="8205" width="11.375" style="73" customWidth="1"/>
    <col min="8206" max="8206" width="5.875" style="73" customWidth="1"/>
    <col min="8207" max="8208" width="9" style="73"/>
    <col min="8209" max="8209" width="6.125" style="73" customWidth="1"/>
    <col min="8210" max="8210" width="19.5" style="73" customWidth="1"/>
    <col min="8211" max="8441" width="9" style="73"/>
    <col min="8442" max="8442" width="6.875" style="73" customWidth="1"/>
    <col min="8443" max="8443" width="7.5" style="73" customWidth="1"/>
    <col min="8444" max="8444" width="6.75" style="73" customWidth="1"/>
    <col min="8445" max="8445" width="8.375" style="73" customWidth="1"/>
    <col min="8446" max="8446" width="4.5" style="73" customWidth="1"/>
    <col min="8447" max="8447" width="8.25" style="73" customWidth="1"/>
    <col min="8448" max="8448" width="3.75" style="73" customWidth="1"/>
    <col min="8449" max="8449" width="7.75" style="73" customWidth="1"/>
    <col min="8450" max="8450" width="3.75" style="73" customWidth="1"/>
    <col min="8451" max="8451" width="7.75" style="73" customWidth="1"/>
    <col min="8452" max="8452" width="3.75" style="73" customWidth="1"/>
    <col min="8453" max="8453" width="7.75" style="73" customWidth="1"/>
    <col min="8454" max="8454" width="3.75" style="73" customWidth="1"/>
    <col min="8455" max="8455" width="6.25" style="73" customWidth="1"/>
    <col min="8456" max="8456" width="9" style="73"/>
    <col min="8457" max="8457" width="12.625" style="73" customWidth="1"/>
    <col min="8458" max="8458" width="19.125" style="73" customWidth="1"/>
    <col min="8459" max="8459" width="4.75" style="73" customWidth="1"/>
    <col min="8460" max="8460" width="9.875" style="73" customWidth="1"/>
    <col min="8461" max="8461" width="11.375" style="73" customWidth="1"/>
    <col min="8462" max="8462" width="5.875" style="73" customWidth="1"/>
    <col min="8463" max="8464" width="9" style="73"/>
    <col min="8465" max="8465" width="6.125" style="73" customWidth="1"/>
    <col min="8466" max="8466" width="19.5" style="73" customWidth="1"/>
    <col min="8467" max="8697" width="9" style="73"/>
    <col min="8698" max="8698" width="6.875" style="73" customWidth="1"/>
    <col min="8699" max="8699" width="7.5" style="73" customWidth="1"/>
    <col min="8700" max="8700" width="6.75" style="73" customWidth="1"/>
    <col min="8701" max="8701" width="8.375" style="73" customWidth="1"/>
    <col min="8702" max="8702" width="4.5" style="73" customWidth="1"/>
    <col min="8703" max="8703" width="8.25" style="73" customWidth="1"/>
    <col min="8704" max="8704" width="3.75" style="73" customWidth="1"/>
    <col min="8705" max="8705" width="7.75" style="73" customWidth="1"/>
    <col min="8706" max="8706" width="3.75" style="73" customWidth="1"/>
    <col min="8707" max="8707" width="7.75" style="73" customWidth="1"/>
    <col min="8708" max="8708" width="3.75" style="73" customWidth="1"/>
    <col min="8709" max="8709" width="7.75" style="73" customWidth="1"/>
    <col min="8710" max="8710" width="3.75" style="73" customWidth="1"/>
    <col min="8711" max="8711" width="6.25" style="73" customWidth="1"/>
    <col min="8712" max="8712" width="9" style="73"/>
    <col min="8713" max="8713" width="12.625" style="73" customWidth="1"/>
    <col min="8714" max="8714" width="19.125" style="73" customWidth="1"/>
    <col min="8715" max="8715" width="4.75" style="73" customWidth="1"/>
    <col min="8716" max="8716" width="9.875" style="73" customWidth="1"/>
    <col min="8717" max="8717" width="11.375" style="73" customWidth="1"/>
    <col min="8718" max="8718" width="5.875" style="73" customWidth="1"/>
    <col min="8719" max="8720" width="9" style="73"/>
    <col min="8721" max="8721" width="6.125" style="73" customWidth="1"/>
    <col min="8722" max="8722" width="19.5" style="73" customWidth="1"/>
    <col min="8723" max="8953" width="9" style="73"/>
    <col min="8954" max="8954" width="6.875" style="73" customWidth="1"/>
    <col min="8955" max="8955" width="7.5" style="73" customWidth="1"/>
    <col min="8956" max="8956" width="6.75" style="73" customWidth="1"/>
    <col min="8957" max="8957" width="8.375" style="73" customWidth="1"/>
    <col min="8958" max="8958" width="4.5" style="73" customWidth="1"/>
    <col min="8959" max="8959" width="8.25" style="73" customWidth="1"/>
    <col min="8960" max="8960" width="3.75" style="73" customWidth="1"/>
    <col min="8961" max="8961" width="7.75" style="73" customWidth="1"/>
    <col min="8962" max="8962" width="3.75" style="73" customWidth="1"/>
    <col min="8963" max="8963" width="7.75" style="73" customWidth="1"/>
    <col min="8964" max="8964" width="3.75" style="73" customWidth="1"/>
    <col min="8965" max="8965" width="7.75" style="73" customWidth="1"/>
    <col min="8966" max="8966" width="3.75" style="73" customWidth="1"/>
    <col min="8967" max="8967" width="6.25" style="73" customWidth="1"/>
    <col min="8968" max="8968" width="9" style="73"/>
    <col min="8969" max="8969" width="12.625" style="73" customWidth="1"/>
    <col min="8970" max="8970" width="19.125" style="73" customWidth="1"/>
    <col min="8971" max="8971" width="4.75" style="73" customWidth="1"/>
    <col min="8972" max="8972" width="9.875" style="73" customWidth="1"/>
    <col min="8973" max="8973" width="11.375" style="73" customWidth="1"/>
    <col min="8974" max="8974" width="5.875" style="73" customWidth="1"/>
    <col min="8975" max="8976" width="9" style="73"/>
    <col min="8977" max="8977" width="6.125" style="73" customWidth="1"/>
    <col min="8978" max="8978" width="19.5" style="73" customWidth="1"/>
    <col min="8979" max="9209" width="9" style="73"/>
    <col min="9210" max="9210" width="6.875" style="73" customWidth="1"/>
    <col min="9211" max="9211" width="7.5" style="73" customWidth="1"/>
    <col min="9212" max="9212" width="6.75" style="73" customWidth="1"/>
    <col min="9213" max="9213" width="8.375" style="73" customWidth="1"/>
    <col min="9214" max="9214" width="4.5" style="73" customWidth="1"/>
    <col min="9215" max="9215" width="8.25" style="73" customWidth="1"/>
    <col min="9216" max="9216" width="3.75" style="73" customWidth="1"/>
    <col min="9217" max="9217" width="7.75" style="73" customWidth="1"/>
    <col min="9218" max="9218" width="3.75" style="73" customWidth="1"/>
    <col min="9219" max="9219" width="7.75" style="73" customWidth="1"/>
    <col min="9220" max="9220" width="3.75" style="73" customWidth="1"/>
    <col min="9221" max="9221" width="7.75" style="73" customWidth="1"/>
    <col min="9222" max="9222" width="3.75" style="73" customWidth="1"/>
    <col min="9223" max="9223" width="6.25" style="73" customWidth="1"/>
    <col min="9224" max="9224" width="9" style="73"/>
    <col min="9225" max="9225" width="12.625" style="73" customWidth="1"/>
    <col min="9226" max="9226" width="19.125" style="73" customWidth="1"/>
    <col min="9227" max="9227" width="4.75" style="73" customWidth="1"/>
    <col min="9228" max="9228" width="9.875" style="73" customWidth="1"/>
    <col min="9229" max="9229" width="11.375" style="73" customWidth="1"/>
    <col min="9230" max="9230" width="5.875" style="73" customWidth="1"/>
    <col min="9231" max="9232" width="9" style="73"/>
    <col min="9233" max="9233" width="6.125" style="73" customWidth="1"/>
    <col min="9234" max="9234" width="19.5" style="73" customWidth="1"/>
    <col min="9235" max="9465" width="9" style="73"/>
    <col min="9466" max="9466" width="6.875" style="73" customWidth="1"/>
    <col min="9467" max="9467" width="7.5" style="73" customWidth="1"/>
    <col min="9468" max="9468" width="6.75" style="73" customWidth="1"/>
    <col min="9469" max="9469" width="8.375" style="73" customWidth="1"/>
    <col min="9470" max="9470" width="4.5" style="73" customWidth="1"/>
    <col min="9471" max="9471" width="8.25" style="73" customWidth="1"/>
    <col min="9472" max="9472" width="3.75" style="73" customWidth="1"/>
    <col min="9473" max="9473" width="7.75" style="73" customWidth="1"/>
    <col min="9474" max="9474" width="3.75" style="73" customWidth="1"/>
    <col min="9475" max="9475" width="7.75" style="73" customWidth="1"/>
    <col min="9476" max="9476" width="3.75" style="73" customWidth="1"/>
    <col min="9477" max="9477" width="7.75" style="73" customWidth="1"/>
    <col min="9478" max="9478" width="3.75" style="73" customWidth="1"/>
    <col min="9479" max="9479" width="6.25" style="73" customWidth="1"/>
    <col min="9480" max="9480" width="9" style="73"/>
    <col min="9481" max="9481" width="12.625" style="73" customWidth="1"/>
    <col min="9482" max="9482" width="19.125" style="73" customWidth="1"/>
    <col min="9483" max="9483" width="4.75" style="73" customWidth="1"/>
    <col min="9484" max="9484" width="9.875" style="73" customWidth="1"/>
    <col min="9485" max="9485" width="11.375" style="73" customWidth="1"/>
    <col min="9486" max="9486" width="5.875" style="73" customWidth="1"/>
    <col min="9487" max="9488" width="9" style="73"/>
    <col min="9489" max="9489" width="6.125" style="73" customWidth="1"/>
    <col min="9490" max="9490" width="19.5" style="73" customWidth="1"/>
    <col min="9491" max="9721" width="9" style="73"/>
    <col min="9722" max="9722" width="6.875" style="73" customWidth="1"/>
    <col min="9723" max="9723" width="7.5" style="73" customWidth="1"/>
    <col min="9724" max="9724" width="6.75" style="73" customWidth="1"/>
    <col min="9725" max="9725" width="8.375" style="73" customWidth="1"/>
    <col min="9726" max="9726" width="4.5" style="73" customWidth="1"/>
    <col min="9727" max="9727" width="8.25" style="73" customWidth="1"/>
    <col min="9728" max="9728" width="3.75" style="73" customWidth="1"/>
    <col min="9729" max="9729" width="7.75" style="73" customWidth="1"/>
    <col min="9730" max="9730" width="3.75" style="73" customWidth="1"/>
    <col min="9731" max="9731" width="7.75" style="73" customWidth="1"/>
    <col min="9732" max="9732" width="3.75" style="73" customWidth="1"/>
    <col min="9733" max="9733" width="7.75" style="73" customWidth="1"/>
    <col min="9734" max="9734" width="3.75" style="73" customWidth="1"/>
    <col min="9735" max="9735" width="6.25" style="73" customWidth="1"/>
    <col min="9736" max="9736" width="9" style="73"/>
    <col min="9737" max="9737" width="12.625" style="73" customWidth="1"/>
    <col min="9738" max="9738" width="19.125" style="73" customWidth="1"/>
    <col min="9739" max="9739" width="4.75" style="73" customWidth="1"/>
    <col min="9740" max="9740" width="9.875" style="73" customWidth="1"/>
    <col min="9741" max="9741" width="11.375" style="73" customWidth="1"/>
    <col min="9742" max="9742" width="5.875" style="73" customWidth="1"/>
    <col min="9743" max="9744" width="9" style="73"/>
    <col min="9745" max="9745" width="6.125" style="73" customWidth="1"/>
    <col min="9746" max="9746" width="19.5" style="73" customWidth="1"/>
    <col min="9747" max="9977" width="9" style="73"/>
    <col min="9978" max="9978" width="6.875" style="73" customWidth="1"/>
    <col min="9979" max="9979" width="7.5" style="73" customWidth="1"/>
    <col min="9980" max="9980" width="6.75" style="73" customWidth="1"/>
    <col min="9981" max="9981" width="8.375" style="73" customWidth="1"/>
    <col min="9982" max="9982" width="4.5" style="73" customWidth="1"/>
    <col min="9983" max="9983" width="8.25" style="73" customWidth="1"/>
    <col min="9984" max="9984" width="3.75" style="73" customWidth="1"/>
    <col min="9985" max="9985" width="7.75" style="73" customWidth="1"/>
    <col min="9986" max="9986" width="3.75" style="73" customWidth="1"/>
    <col min="9987" max="9987" width="7.75" style="73" customWidth="1"/>
    <col min="9988" max="9988" width="3.75" style="73" customWidth="1"/>
    <col min="9989" max="9989" width="7.75" style="73" customWidth="1"/>
    <col min="9990" max="9990" width="3.75" style="73" customWidth="1"/>
    <col min="9991" max="9991" width="6.25" style="73" customWidth="1"/>
    <col min="9992" max="9992" width="9" style="73"/>
    <col min="9993" max="9993" width="12.625" style="73" customWidth="1"/>
    <col min="9994" max="9994" width="19.125" style="73" customWidth="1"/>
    <col min="9995" max="9995" width="4.75" style="73" customWidth="1"/>
    <col min="9996" max="9996" width="9.875" style="73" customWidth="1"/>
    <col min="9997" max="9997" width="11.375" style="73" customWidth="1"/>
    <col min="9998" max="9998" width="5.875" style="73" customWidth="1"/>
    <col min="9999" max="10000" width="9" style="73"/>
    <col min="10001" max="10001" width="6.125" style="73" customWidth="1"/>
    <col min="10002" max="10002" width="19.5" style="73" customWidth="1"/>
    <col min="10003" max="10233" width="9" style="73"/>
    <col min="10234" max="10234" width="6.875" style="73" customWidth="1"/>
    <col min="10235" max="10235" width="7.5" style="73" customWidth="1"/>
    <col min="10236" max="10236" width="6.75" style="73" customWidth="1"/>
    <col min="10237" max="10237" width="8.375" style="73" customWidth="1"/>
    <col min="10238" max="10238" width="4.5" style="73" customWidth="1"/>
    <col min="10239" max="10239" width="8.25" style="73" customWidth="1"/>
    <col min="10240" max="10240" width="3.75" style="73" customWidth="1"/>
    <col min="10241" max="10241" width="7.75" style="73" customWidth="1"/>
    <col min="10242" max="10242" width="3.75" style="73" customWidth="1"/>
    <col min="10243" max="10243" width="7.75" style="73" customWidth="1"/>
    <col min="10244" max="10244" width="3.75" style="73" customWidth="1"/>
    <col min="10245" max="10245" width="7.75" style="73" customWidth="1"/>
    <col min="10246" max="10246" width="3.75" style="73" customWidth="1"/>
    <col min="10247" max="10247" width="6.25" style="73" customWidth="1"/>
    <col min="10248" max="10248" width="9" style="73"/>
    <col min="10249" max="10249" width="12.625" style="73" customWidth="1"/>
    <col min="10250" max="10250" width="19.125" style="73" customWidth="1"/>
    <col min="10251" max="10251" width="4.75" style="73" customWidth="1"/>
    <col min="10252" max="10252" width="9.875" style="73" customWidth="1"/>
    <col min="10253" max="10253" width="11.375" style="73" customWidth="1"/>
    <col min="10254" max="10254" width="5.875" style="73" customWidth="1"/>
    <col min="10255" max="10256" width="9" style="73"/>
    <col min="10257" max="10257" width="6.125" style="73" customWidth="1"/>
    <col min="10258" max="10258" width="19.5" style="73" customWidth="1"/>
    <col min="10259" max="10489" width="9" style="73"/>
    <col min="10490" max="10490" width="6.875" style="73" customWidth="1"/>
    <col min="10491" max="10491" width="7.5" style="73" customWidth="1"/>
    <col min="10492" max="10492" width="6.75" style="73" customWidth="1"/>
    <col min="10493" max="10493" width="8.375" style="73" customWidth="1"/>
    <col min="10494" max="10494" width="4.5" style="73" customWidth="1"/>
    <col min="10495" max="10495" width="8.25" style="73" customWidth="1"/>
    <col min="10496" max="10496" width="3.75" style="73" customWidth="1"/>
    <col min="10497" max="10497" width="7.75" style="73" customWidth="1"/>
    <col min="10498" max="10498" width="3.75" style="73" customWidth="1"/>
    <col min="10499" max="10499" width="7.75" style="73" customWidth="1"/>
    <col min="10500" max="10500" width="3.75" style="73" customWidth="1"/>
    <col min="10501" max="10501" width="7.75" style="73" customWidth="1"/>
    <col min="10502" max="10502" width="3.75" style="73" customWidth="1"/>
    <col min="10503" max="10503" width="6.25" style="73" customWidth="1"/>
    <col min="10504" max="10504" width="9" style="73"/>
    <col min="10505" max="10505" width="12.625" style="73" customWidth="1"/>
    <col min="10506" max="10506" width="19.125" style="73" customWidth="1"/>
    <col min="10507" max="10507" width="4.75" style="73" customWidth="1"/>
    <col min="10508" max="10508" width="9.875" style="73" customWidth="1"/>
    <col min="10509" max="10509" width="11.375" style="73" customWidth="1"/>
    <col min="10510" max="10510" width="5.875" style="73" customWidth="1"/>
    <col min="10511" max="10512" width="9" style="73"/>
    <col min="10513" max="10513" width="6.125" style="73" customWidth="1"/>
    <col min="10514" max="10514" width="19.5" style="73" customWidth="1"/>
    <col min="10515" max="10745" width="9" style="73"/>
    <col min="10746" max="10746" width="6.875" style="73" customWidth="1"/>
    <col min="10747" max="10747" width="7.5" style="73" customWidth="1"/>
    <col min="10748" max="10748" width="6.75" style="73" customWidth="1"/>
    <col min="10749" max="10749" width="8.375" style="73" customWidth="1"/>
    <col min="10750" max="10750" width="4.5" style="73" customWidth="1"/>
    <col min="10751" max="10751" width="8.25" style="73" customWidth="1"/>
    <col min="10752" max="10752" width="3.75" style="73" customWidth="1"/>
    <col min="10753" max="10753" width="7.75" style="73" customWidth="1"/>
    <col min="10754" max="10754" width="3.75" style="73" customWidth="1"/>
    <col min="10755" max="10755" width="7.75" style="73" customWidth="1"/>
    <col min="10756" max="10756" width="3.75" style="73" customWidth="1"/>
    <col min="10757" max="10757" width="7.75" style="73" customWidth="1"/>
    <col min="10758" max="10758" width="3.75" style="73" customWidth="1"/>
    <col min="10759" max="10759" width="6.25" style="73" customWidth="1"/>
    <col min="10760" max="10760" width="9" style="73"/>
    <col min="10761" max="10761" width="12.625" style="73" customWidth="1"/>
    <col min="10762" max="10762" width="19.125" style="73" customWidth="1"/>
    <col min="10763" max="10763" width="4.75" style="73" customWidth="1"/>
    <col min="10764" max="10764" width="9.875" style="73" customWidth="1"/>
    <col min="10765" max="10765" width="11.375" style="73" customWidth="1"/>
    <col min="10766" max="10766" width="5.875" style="73" customWidth="1"/>
    <col min="10767" max="10768" width="9" style="73"/>
    <col min="10769" max="10769" width="6.125" style="73" customWidth="1"/>
    <col min="10770" max="10770" width="19.5" style="73" customWidth="1"/>
    <col min="10771" max="11001" width="9" style="73"/>
    <col min="11002" max="11002" width="6.875" style="73" customWidth="1"/>
    <col min="11003" max="11003" width="7.5" style="73" customWidth="1"/>
    <col min="11004" max="11004" width="6.75" style="73" customWidth="1"/>
    <col min="11005" max="11005" width="8.375" style="73" customWidth="1"/>
    <col min="11006" max="11006" width="4.5" style="73" customWidth="1"/>
    <col min="11007" max="11007" width="8.25" style="73" customWidth="1"/>
    <col min="11008" max="11008" width="3.75" style="73" customWidth="1"/>
    <col min="11009" max="11009" width="7.75" style="73" customWidth="1"/>
    <col min="11010" max="11010" width="3.75" style="73" customWidth="1"/>
    <col min="11011" max="11011" width="7.75" style="73" customWidth="1"/>
    <col min="11012" max="11012" width="3.75" style="73" customWidth="1"/>
    <col min="11013" max="11013" width="7.75" style="73" customWidth="1"/>
    <col min="11014" max="11014" width="3.75" style="73" customWidth="1"/>
    <col min="11015" max="11015" width="6.25" style="73" customWidth="1"/>
    <col min="11016" max="11016" width="9" style="73"/>
    <col min="11017" max="11017" width="12.625" style="73" customWidth="1"/>
    <col min="11018" max="11018" width="19.125" style="73" customWidth="1"/>
    <col min="11019" max="11019" width="4.75" style="73" customWidth="1"/>
    <col min="11020" max="11020" width="9.875" style="73" customWidth="1"/>
    <col min="11021" max="11021" width="11.375" style="73" customWidth="1"/>
    <col min="11022" max="11022" width="5.875" style="73" customWidth="1"/>
    <col min="11023" max="11024" width="9" style="73"/>
    <col min="11025" max="11025" width="6.125" style="73" customWidth="1"/>
    <col min="11026" max="11026" width="19.5" style="73" customWidth="1"/>
    <col min="11027" max="11257" width="9" style="73"/>
    <col min="11258" max="11258" width="6.875" style="73" customWidth="1"/>
    <col min="11259" max="11259" width="7.5" style="73" customWidth="1"/>
    <col min="11260" max="11260" width="6.75" style="73" customWidth="1"/>
    <col min="11261" max="11261" width="8.375" style="73" customWidth="1"/>
    <col min="11262" max="11262" width="4.5" style="73" customWidth="1"/>
    <col min="11263" max="11263" width="8.25" style="73" customWidth="1"/>
    <col min="11264" max="11264" width="3.75" style="73" customWidth="1"/>
    <col min="11265" max="11265" width="7.75" style="73" customWidth="1"/>
    <col min="11266" max="11266" width="3.75" style="73" customWidth="1"/>
    <col min="11267" max="11267" width="7.75" style="73" customWidth="1"/>
    <col min="11268" max="11268" width="3.75" style="73" customWidth="1"/>
    <col min="11269" max="11269" width="7.75" style="73" customWidth="1"/>
    <col min="11270" max="11270" width="3.75" style="73" customWidth="1"/>
    <col min="11271" max="11271" width="6.25" style="73" customWidth="1"/>
    <col min="11272" max="11272" width="9" style="73"/>
    <col min="11273" max="11273" width="12.625" style="73" customWidth="1"/>
    <col min="11274" max="11274" width="19.125" style="73" customWidth="1"/>
    <col min="11275" max="11275" width="4.75" style="73" customWidth="1"/>
    <col min="11276" max="11276" width="9.875" style="73" customWidth="1"/>
    <col min="11277" max="11277" width="11.375" style="73" customWidth="1"/>
    <col min="11278" max="11278" width="5.875" style="73" customWidth="1"/>
    <col min="11279" max="11280" width="9" style="73"/>
    <col min="11281" max="11281" width="6.125" style="73" customWidth="1"/>
    <col min="11282" max="11282" width="19.5" style="73" customWidth="1"/>
    <col min="11283" max="11513" width="9" style="73"/>
    <col min="11514" max="11514" width="6.875" style="73" customWidth="1"/>
    <col min="11515" max="11515" width="7.5" style="73" customWidth="1"/>
    <col min="11516" max="11516" width="6.75" style="73" customWidth="1"/>
    <col min="11517" max="11517" width="8.375" style="73" customWidth="1"/>
    <col min="11518" max="11518" width="4.5" style="73" customWidth="1"/>
    <col min="11519" max="11519" width="8.25" style="73" customWidth="1"/>
    <col min="11520" max="11520" width="3.75" style="73" customWidth="1"/>
    <col min="11521" max="11521" width="7.75" style="73" customWidth="1"/>
    <col min="11522" max="11522" width="3.75" style="73" customWidth="1"/>
    <col min="11523" max="11523" width="7.75" style="73" customWidth="1"/>
    <col min="11524" max="11524" width="3.75" style="73" customWidth="1"/>
    <col min="11525" max="11525" width="7.75" style="73" customWidth="1"/>
    <col min="11526" max="11526" width="3.75" style="73" customWidth="1"/>
    <col min="11527" max="11527" width="6.25" style="73" customWidth="1"/>
    <col min="11528" max="11528" width="9" style="73"/>
    <col min="11529" max="11529" width="12.625" style="73" customWidth="1"/>
    <col min="11530" max="11530" width="19.125" style="73" customWidth="1"/>
    <col min="11531" max="11531" width="4.75" style="73" customWidth="1"/>
    <col min="11532" max="11532" width="9.875" style="73" customWidth="1"/>
    <col min="11533" max="11533" width="11.375" style="73" customWidth="1"/>
    <col min="11534" max="11534" width="5.875" style="73" customWidth="1"/>
    <col min="11535" max="11536" width="9" style="73"/>
    <col min="11537" max="11537" width="6.125" style="73" customWidth="1"/>
    <col min="11538" max="11538" width="19.5" style="73" customWidth="1"/>
    <col min="11539" max="11769" width="9" style="73"/>
    <col min="11770" max="11770" width="6.875" style="73" customWidth="1"/>
    <col min="11771" max="11771" width="7.5" style="73" customWidth="1"/>
    <col min="11772" max="11772" width="6.75" style="73" customWidth="1"/>
    <col min="11773" max="11773" width="8.375" style="73" customWidth="1"/>
    <col min="11774" max="11774" width="4.5" style="73" customWidth="1"/>
    <col min="11775" max="11775" width="8.25" style="73" customWidth="1"/>
    <col min="11776" max="11776" width="3.75" style="73" customWidth="1"/>
    <col min="11777" max="11777" width="7.75" style="73" customWidth="1"/>
    <col min="11778" max="11778" width="3.75" style="73" customWidth="1"/>
    <col min="11779" max="11779" width="7.75" style="73" customWidth="1"/>
    <col min="11780" max="11780" width="3.75" style="73" customWidth="1"/>
    <col min="11781" max="11781" width="7.75" style="73" customWidth="1"/>
    <col min="11782" max="11782" width="3.75" style="73" customWidth="1"/>
    <col min="11783" max="11783" width="6.25" style="73" customWidth="1"/>
    <col min="11784" max="11784" width="9" style="73"/>
    <col min="11785" max="11785" width="12.625" style="73" customWidth="1"/>
    <col min="11786" max="11786" width="19.125" style="73" customWidth="1"/>
    <col min="11787" max="11787" width="4.75" style="73" customWidth="1"/>
    <col min="11788" max="11788" width="9.875" style="73" customWidth="1"/>
    <col min="11789" max="11789" width="11.375" style="73" customWidth="1"/>
    <col min="11790" max="11790" width="5.875" style="73" customWidth="1"/>
    <col min="11791" max="11792" width="9" style="73"/>
    <col min="11793" max="11793" width="6.125" style="73" customWidth="1"/>
    <col min="11794" max="11794" width="19.5" style="73" customWidth="1"/>
    <col min="11795" max="12025" width="9" style="73"/>
    <col min="12026" max="12026" width="6.875" style="73" customWidth="1"/>
    <col min="12027" max="12027" width="7.5" style="73" customWidth="1"/>
    <col min="12028" max="12028" width="6.75" style="73" customWidth="1"/>
    <col min="12029" max="12029" width="8.375" style="73" customWidth="1"/>
    <col min="12030" max="12030" width="4.5" style="73" customWidth="1"/>
    <col min="12031" max="12031" width="8.25" style="73" customWidth="1"/>
    <col min="12032" max="12032" width="3.75" style="73" customWidth="1"/>
    <col min="12033" max="12033" width="7.75" style="73" customWidth="1"/>
    <col min="12034" max="12034" width="3.75" style="73" customWidth="1"/>
    <col min="12035" max="12035" width="7.75" style="73" customWidth="1"/>
    <col min="12036" max="12036" width="3.75" style="73" customWidth="1"/>
    <col min="12037" max="12037" width="7.75" style="73" customWidth="1"/>
    <col min="12038" max="12038" width="3.75" style="73" customWidth="1"/>
    <col min="12039" max="12039" width="6.25" style="73" customWidth="1"/>
    <col min="12040" max="12040" width="9" style="73"/>
    <col min="12041" max="12041" width="12.625" style="73" customWidth="1"/>
    <col min="12042" max="12042" width="19.125" style="73" customWidth="1"/>
    <col min="12043" max="12043" width="4.75" style="73" customWidth="1"/>
    <col min="12044" max="12044" width="9.875" style="73" customWidth="1"/>
    <col min="12045" max="12045" width="11.375" style="73" customWidth="1"/>
    <col min="12046" max="12046" width="5.875" style="73" customWidth="1"/>
    <col min="12047" max="12048" width="9" style="73"/>
    <col min="12049" max="12049" width="6.125" style="73" customWidth="1"/>
    <col min="12050" max="12050" width="19.5" style="73" customWidth="1"/>
    <col min="12051" max="12281" width="9" style="73"/>
    <col min="12282" max="12282" width="6.875" style="73" customWidth="1"/>
    <col min="12283" max="12283" width="7.5" style="73" customWidth="1"/>
    <col min="12284" max="12284" width="6.75" style="73" customWidth="1"/>
    <col min="12285" max="12285" width="8.375" style="73" customWidth="1"/>
    <col min="12286" max="12286" width="4.5" style="73" customWidth="1"/>
    <col min="12287" max="12287" width="8.25" style="73" customWidth="1"/>
    <col min="12288" max="12288" width="3.75" style="73" customWidth="1"/>
    <col min="12289" max="12289" width="7.75" style="73" customWidth="1"/>
    <col min="12290" max="12290" width="3.75" style="73" customWidth="1"/>
    <col min="12291" max="12291" width="7.75" style="73" customWidth="1"/>
    <col min="12292" max="12292" width="3.75" style="73" customWidth="1"/>
    <col min="12293" max="12293" width="7.75" style="73" customWidth="1"/>
    <col min="12294" max="12294" width="3.75" style="73" customWidth="1"/>
    <col min="12295" max="12295" width="6.25" style="73" customWidth="1"/>
    <col min="12296" max="12296" width="9" style="73"/>
    <col min="12297" max="12297" width="12.625" style="73" customWidth="1"/>
    <col min="12298" max="12298" width="19.125" style="73" customWidth="1"/>
    <col min="12299" max="12299" width="4.75" style="73" customWidth="1"/>
    <col min="12300" max="12300" width="9.875" style="73" customWidth="1"/>
    <col min="12301" max="12301" width="11.375" style="73" customWidth="1"/>
    <col min="12302" max="12302" width="5.875" style="73" customWidth="1"/>
    <col min="12303" max="12304" width="9" style="73"/>
    <col min="12305" max="12305" width="6.125" style="73" customWidth="1"/>
    <col min="12306" max="12306" width="19.5" style="73" customWidth="1"/>
    <col min="12307" max="12537" width="9" style="73"/>
    <col min="12538" max="12538" width="6.875" style="73" customWidth="1"/>
    <col min="12539" max="12539" width="7.5" style="73" customWidth="1"/>
    <col min="12540" max="12540" width="6.75" style="73" customWidth="1"/>
    <col min="12541" max="12541" width="8.375" style="73" customWidth="1"/>
    <col min="12542" max="12542" width="4.5" style="73" customWidth="1"/>
    <col min="12543" max="12543" width="8.25" style="73" customWidth="1"/>
    <col min="12544" max="12544" width="3.75" style="73" customWidth="1"/>
    <col min="12545" max="12545" width="7.75" style="73" customWidth="1"/>
    <col min="12546" max="12546" width="3.75" style="73" customWidth="1"/>
    <col min="12547" max="12547" width="7.75" style="73" customWidth="1"/>
    <col min="12548" max="12548" width="3.75" style="73" customWidth="1"/>
    <col min="12549" max="12549" width="7.75" style="73" customWidth="1"/>
    <col min="12550" max="12550" width="3.75" style="73" customWidth="1"/>
    <col min="12551" max="12551" width="6.25" style="73" customWidth="1"/>
    <col min="12552" max="12552" width="9" style="73"/>
    <col min="12553" max="12553" width="12.625" style="73" customWidth="1"/>
    <col min="12554" max="12554" width="19.125" style="73" customWidth="1"/>
    <col min="12555" max="12555" width="4.75" style="73" customWidth="1"/>
    <col min="12556" max="12556" width="9.875" style="73" customWidth="1"/>
    <col min="12557" max="12557" width="11.375" style="73" customWidth="1"/>
    <col min="12558" max="12558" width="5.875" style="73" customWidth="1"/>
    <col min="12559" max="12560" width="9" style="73"/>
    <col min="12561" max="12561" width="6.125" style="73" customWidth="1"/>
    <col min="12562" max="12562" width="19.5" style="73" customWidth="1"/>
    <col min="12563" max="12793" width="9" style="73"/>
    <col min="12794" max="12794" width="6.875" style="73" customWidth="1"/>
    <col min="12795" max="12795" width="7.5" style="73" customWidth="1"/>
    <col min="12796" max="12796" width="6.75" style="73" customWidth="1"/>
    <col min="12797" max="12797" width="8.375" style="73" customWidth="1"/>
    <col min="12798" max="12798" width="4.5" style="73" customWidth="1"/>
    <col min="12799" max="12799" width="8.25" style="73" customWidth="1"/>
    <col min="12800" max="12800" width="3.75" style="73" customWidth="1"/>
    <col min="12801" max="12801" width="7.75" style="73" customWidth="1"/>
    <col min="12802" max="12802" width="3.75" style="73" customWidth="1"/>
    <col min="12803" max="12803" width="7.75" style="73" customWidth="1"/>
    <col min="12804" max="12804" width="3.75" style="73" customWidth="1"/>
    <col min="12805" max="12805" width="7.75" style="73" customWidth="1"/>
    <col min="12806" max="12806" width="3.75" style="73" customWidth="1"/>
    <col min="12807" max="12807" width="6.25" style="73" customWidth="1"/>
    <col min="12808" max="12808" width="9" style="73"/>
    <col min="12809" max="12809" width="12.625" style="73" customWidth="1"/>
    <col min="12810" max="12810" width="19.125" style="73" customWidth="1"/>
    <col min="12811" max="12811" width="4.75" style="73" customWidth="1"/>
    <col min="12812" max="12812" width="9.875" style="73" customWidth="1"/>
    <col min="12813" max="12813" width="11.375" style="73" customWidth="1"/>
    <col min="12814" max="12814" width="5.875" style="73" customWidth="1"/>
    <col min="12815" max="12816" width="9" style="73"/>
    <col min="12817" max="12817" width="6.125" style="73" customWidth="1"/>
    <col min="12818" max="12818" width="19.5" style="73" customWidth="1"/>
    <col min="12819" max="13049" width="9" style="73"/>
    <col min="13050" max="13050" width="6.875" style="73" customWidth="1"/>
    <col min="13051" max="13051" width="7.5" style="73" customWidth="1"/>
    <col min="13052" max="13052" width="6.75" style="73" customWidth="1"/>
    <col min="13053" max="13053" width="8.375" style="73" customWidth="1"/>
    <col min="13054" max="13054" width="4.5" style="73" customWidth="1"/>
    <col min="13055" max="13055" width="8.25" style="73" customWidth="1"/>
    <col min="13056" max="13056" width="3.75" style="73" customWidth="1"/>
    <col min="13057" max="13057" width="7.75" style="73" customWidth="1"/>
    <col min="13058" max="13058" width="3.75" style="73" customWidth="1"/>
    <col min="13059" max="13059" width="7.75" style="73" customWidth="1"/>
    <col min="13060" max="13060" width="3.75" style="73" customWidth="1"/>
    <col min="13061" max="13061" width="7.75" style="73" customWidth="1"/>
    <col min="13062" max="13062" width="3.75" style="73" customWidth="1"/>
    <col min="13063" max="13063" width="6.25" style="73" customWidth="1"/>
    <col min="13064" max="13064" width="9" style="73"/>
    <col min="13065" max="13065" width="12.625" style="73" customWidth="1"/>
    <col min="13066" max="13066" width="19.125" style="73" customWidth="1"/>
    <col min="13067" max="13067" width="4.75" style="73" customWidth="1"/>
    <col min="13068" max="13068" width="9.875" style="73" customWidth="1"/>
    <col min="13069" max="13069" width="11.375" style="73" customWidth="1"/>
    <col min="13070" max="13070" width="5.875" style="73" customWidth="1"/>
    <col min="13071" max="13072" width="9" style="73"/>
    <col min="13073" max="13073" width="6.125" style="73" customWidth="1"/>
    <col min="13074" max="13074" width="19.5" style="73" customWidth="1"/>
    <col min="13075" max="13305" width="9" style="73"/>
    <col min="13306" max="13306" width="6.875" style="73" customWidth="1"/>
    <col min="13307" max="13307" width="7.5" style="73" customWidth="1"/>
    <col min="13308" max="13308" width="6.75" style="73" customWidth="1"/>
    <col min="13309" max="13309" width="8.375" style="73" customWidth="1"/>
    <col min="13310" max="13310" width="4.5" style="73" customWidth="1"/>
    <col min="13311" max="13311" width="8.25" style="73" customWidth="1"/>
    <col min="13312" max="13312" width="3.75" style="73" customWidth="1"/>
    <col min="13313" max="13313" width="7.75" style="73" customWidth="1"/>
    <col min="13314" max="13314" width="3.75" style="73" customWidth="1"/>
    <col min="13315" max="13315" width="7.75" style="73" customWidth="1"/>
    <col min="13316" max="13316" width="3.75" style="73" customWidth="1"/>
    <col min="13317" max="13317" width="7.75" style="73" customWidth="1"/>
    <col min="13318" max="13318" width="3.75" style="73" customWidth="1"/>
    <col min="13319" max="13319" width="6.25" style="73" customWidth="1"/>
    <col min="13320" max="13320" width="9" style="73"/>
    <col min="13321" max="13321" width="12.625" style="73" customWidth="1"/>
    <col min="13322" max="13322" width="19.125" style="73" customWidth="1"/>
    <col min="13323" max="13323" width="4.75" style="73" customWidth="1"/>
    <col min="13324" max="13324" width="9.875" style="73" customWidth="1"/>
    <col min="13325" max="13325" width="11.375" style="73" customWidth="1"/>
    <col min="13326" max="13326" width="5.875" style="73" customWidth="1"/>
    <col min="13327" max="13328" width="9" style="73"/>
    <col min="13329" max="13329" width="6.125" style="73" customWidth="1"/>
    <col min="13330" max="13330" width="19.5" style="73" customWidth="1"/>
    <col min="13331" max="13561" width="9" style="73"/>
    <col min="13562" max="13562" width="6.875" style="73" customWidth="1"/>
    <col min="13563" max="13563" width="7.5" style="73" customWidth="1"/>
    <col min="13564" max="13564" width="6.75" style="73" customWidth="1"/>
    <col min="13565" max="13565" width="8.375" style="73" customWidth="1"/>
    <col min="13566" max="13566" width="4.5" style="73" customWidth="1"/>
    <col min="13567" max="13567" width="8.25" style="73" customWidth="1"/>
    <col min="13568" max="13568" width="3.75" style="73" customWidth="1"/>
    <col min="13569" max="13569" width="7.75" style="73" customWidth="1"/>
    <col min="13570" max="13570" width="3.75" style="73" customWidth="1"/>
    <col min="13571" max="13571" width="7.75" style="73" customWidth="1"/>
    <col min="13572" max="13572" width="3.75" style="73" customWidth="1"/>
    <col min="13573" max="13573" width="7.75" style="73" customWidth="1"/>
    <col min="13574" max="13574" width="3.75" style="73" customWidth="1"/>
    <col min="13575" max="13575" width="6.25" style="73" customWidth="1"/>
    <col min="13576" max="13576" width="9" style="73"/>
    <col min="13577" max="13577" width="12.625" style="73" customWidth="1"/>
    <col min="13578" max="13578" width="19.125" style="73" customWidth="1"/>
    <col min="13579" max="13579" width="4.75" style="73" customWidth="1"/>
    <col min="13580" max="13580" width="9.875" style="73" customWidth="1"/>
    <col min="13581" max="13581" width="11.375" style="73" customWidth="1"/>
    <col min="13582" max="13582" width="5.875" style="73" customWidth="1"/>
    <col min="13583" max="13584" width="9" style="73"/>
    <col min="13585" max="13585" width="6.125" style="73" customWidth="1"/>
    <col min="13586" max="13586" width="19.5" style="73" customWidth="1"/>
    <col min="13587" max="13817" width="9" style="73"/>
    <col min="13818" max="13818" width="6.875" style="73" customWidth="1"/>
    <col min="13819" max="13819" width="7.5" style="73" customWidth="1"/>
    <col min="13820" max="13820" width="6.75" style="73" customWidth="1"/>
    <col min="13821" max="13821" width="8.375" style="73" customWidth="1"/>
    <col min="13822" max="13822" width="4.5" style="73" customWidth="1"/>
    <col min="13823" max="13823" width="8.25" style="73" customWidth="1"/>
    <col min="13824" max="13824" width="3.75" style="73" customWidth="1"/>
    <col min="13825" max="13825" width="7.75" style="73" customWidth="1"/>
    <col min="13826" max="13826" width="3.75" style="73" customWidth="1"/>
    <col min="13827" max="13827" width="7.75" style="73" customWidth="1"/>
    <col min="13828" max="13828" width="3.75" style="73" customWidth="1"/>
    <col min="13829" max="13829" width="7.75" style="73" customWidth="1"/>
    <col min="13830" max="13830" width="3.75" style="73" customWidth="1"/>
    <col min="13831" max="13831" width="6.25" style="73" customWidth="1"/>
    <col min="13832" max="13832" width="9" style="73"/>
    <col min="13833" max="13833" width="12.625" style="73" customWidth="1"/>
    <col min="13834" max="13834" width="19.125" style="73" customWidth="1"/>
    <col min="13835" max="13835" width="4.75" style="73" customWidth="1"/>
    <col min="13836" max="13836" width="9.875" style="73" customWidth="1"/>
    <col min="13837" max="13837" width="11.375" style="73" customWidth="1"/>
    <col min="13838" max="13838" width="5.875" style="73" customWidth="1"/>
    <col min="13839" max="13840" width="9" style="73"/>
    <col min="13841" max="13841" width="6.125" style="73" customWidth="1"/>
    <col min="13842" max="13842" width="19.5" style="73" customWidth="1"/>
    <col min="13843" max="14073" width="9" style="73"/>
    <col min="14074" max="14074" width="6.875" style="73" customWidth="1"/>
    <col min="14075" max="14075" width="7.5" style="73" customWidth="1"/>
    <col min="14076" max="14076" width="6.75" style="73" customWidth="1"/>
    <col min="14077" max="14077" width="8.375" style="73" customWidth="1"/>
    <col min="14078" max="14078" width="4.5" style="73" customWidth="1"/>
    <col min="14079" max="14079" width="8.25" style="73" customWidth="1"/>
    <col min="14080" max="14080" width="3.75" style="73" customWidth="1"/>
    <col min="14081" max="14081" width="7.75" style="73" customWidth="1"/>
    <col min="14082" max="14082" width="3.75" style="73" customWidth="1"/>
    <col min="14083" max="14083" width="7.75" style="73" customWidth="1"/>
    <col min="14084" max="14084" width="3.75" style="73" customWidth="1"/>
    <col min="14085" max="14085" width="7.75" style="73" customWidth="1"/>
    <col min="14086" max="14086" width="3.75" style="73" customWidth="1"/>
    <col min="14087" max="14087" width="6.25" style="73" customWidth="1"/>
    <col min="14088" max="14088" width="9" style="73"/>
    <col min="14089" max="14089" width="12.625" style="73" customWidth="1"/>
    <col min="14090" max="14090" width="19.125" style="73" customWidth="1"/>
    <col min="14091" max="14091" width="4.75" style="73" customWidth="1"/>
    <col min="14092" max="14092" width="9.875" style="73" customWidth="1"/>
    <col min="14093" max="14093" width="11.375" style="73" customWidth="1"/>
    <col min="14094" max="14094" width="5.875" style="73" customWidth="1"/>
    <col min="14095" max="14096" width="9" style="73"/>
    <col min="14097" max="14097" width="6.125" style="73" customWidth="1"/>
    <col min="14098" max="14098" width="19.5" style="73" customWidth="1"/>
    <col min="14099" max="14329" width="9" style="73"/>
    <col min="14330" max="14330" width="6.875" style="73" customWidth="1"/>
    <col min="14331" max="14331" width="7.5" style="73" customWidth="1"/>
    <col min="14332" max="14332" width="6.75" style="73" customWidth="1"/>
    <col min="14333" max="14333" width="8.375" style="73" customWidth="1"/>
    <col min="14334" max="14334" width="4.5" style="73" customWidth="1"/>
    <col min="14335" max="14335" width="8.25" style="73" customWidth="1"/>
    <col min="14336" max="14336" width="3.75" style="73" customWidth="1"/>
    <col min="14337" max="14337" width="7.75" style="73" customWidth="1"/>
    <col min="14338" max="14338" width="3.75" style="73" customWidth="1"/>
    <col min="14339" max="14339" width="7.75" style="73" customWidth="1"/>
    <col min="14340" max="14340" width="3.75" style="73" customWidth="1"/>
    <col min="14341" max="14341" width="7.75" style="73" customWidth="1"/>
    <col min="14342" max="14342" width="3.75" style="73" customWidth="1"/>
    <col min="14343" max="14343" width="6.25" style="73" customWidth="1"/>
    <col min="14344" max="14344" width="9" style="73"/>
    <col min="14345" max="14345" width="12.625" style="73" customWidth="1"/>
    <col min="14346" max="14346" width="19.125" style="73" customWidth="1"/>
    <col min="14347" max="14347" width="4.75" style="73" customWidth="1"/>
    <col min="14348" max="14348" width="9.875" style="73" customWidth="1"/>
    <col min="14349" max="14349" width="11.375" style="73" customWidth="1"/>
    <col min="14350" max="14350" width="5.875" style="73" customWidth="1"/>
    <col min="14351" max="14352" width="9" style="73"/>
    <col min="14353" max="14353" width="6.125" style="73" customWidth="1"/>
    <col min="14354" max="14354" width="19.5" style="73" customWidth="1"/>
    <col min="14355" max="14585" width="9" style="73"/>
    <col min="14586" max="14586" width="6.875" style="73" customWidth="1"/>
    <col min="14587" max="14587" width="7.5" style="73" customWidth="1"/>
    <col min="14588" max="14588" width="6.75" style="73" customWidth="1"/>
    <col min="14589" max="14589" width="8.375" style="73" customWidth="1"/>
    <col min="14590" max="14590" width="4.5" style="73" customWidth="1"/>
    <col min="14591" max="14591" width="8.25" style="73" customWidth="1"/>
    <col min="14592" max="14592" width="3.75" style="73" customWidth="1"/>
    <col min="14593" max="14593" width="7.75" style="73" customWidth="1"/>
    <col min="14594" max="14594" width="3.75" style="73" customWidth="1"/>
    <col min="14595" max="14595" width="7.75" style="73" customWidth="1"/>
    <col min="14596" max="14596" width="3.75" style="73" customWidth="1"/>
    <col min="14597" max="14597" width="7.75" style="73" customWidth="1"/>
    <col min="14598" max="14598" width="3.75" style="73" customWidth="1"/>
    <col min="14599" max="14599" width="6.25" style="73" customWidth="1"/>
    <col min="14600" max="14600" width="9" style="73"/>
    <col min="14601" max="14601" width="12.625" style="73" customWidth="1"/>
    <col min="14602" max="14602" width="19.125" style="73" customWidth="1"/>
    <col min="14603" max="14603" width="4.75" style="73" customWidth="1"/>
    <col min="14604" max="14604" width="9.875" style="73" customWidth="1"/>
    <col min="14605" max="14605" width="11.375" style="73" customWidth="1"/>
    <col min="14606" max="14606" width="5.875" style="73" customWidth="1"/>
    <col min="14607" max="14608" width="9" style="73"/>
    <col min="14609" max="14609" width="6.125" style="73" customWidth="1"/>
    <col min="14610" max="14610" width="19.5" style="73" customWidth="1"/>
    <col min="14611" max="14841" width="9" style="73"/>
    <col min="14842" max="14842" width="6.875" style="73" customWidth="1"/>
    <col min="14843" max="14843" width="7.5" style="73" customWidth="1"/>
    <col min="14844" max="14844" width="6.75" style="73" customWidth="1"/>
    <col min="14845" max="14845" width="8.375" style="73" customWidth="1"/>
    <col min="14846" max="14846" width="4.5" style="73" customWidth="1"/>
    <col min="14847" max="14847" width="8.25" style="73" customWidth="1"/>
    <col min="14848" max="14848" width="3.75" style="73" customWidth="1"/>
    <col min="14849" max="14849" width="7.75" style="73" customWidth="1"/>
    <col min="14850" max="14850" width="3.75" style="73" customWidth="1"/>
    <col min="14851" max="14851" width="7.75" style="73" customWidth="1"/>
    <col min="14852" max="14852" width="3.75" style="73" customWidth="1"/>
    <col min="14853" max="14853" width="7.75" style="73" customWidth="1"/>
    <col min="14854" max="14854" width="3.75" style="73" customWidth="1"/>
    <col min="14855" max="14855" width="6.25" style="73" customWidth="1"/>
    <col min="14856" max="14856" width="9" style="73"/>
    <col min="14857" max="14857" width="12.625" style="73" customWidth="1"/>
    <col min="14858" max="14858" width="19.125" style="73" customWidth="1"/>
    <col min="14859" max="14859" width="4.75" style="73" customWidth="1"/>
    <col min="14860" max="14860" width="9.875" style="73" customWidth="1"/>
    <col min="14861" max="14861" width="11.375" style="73" customWidth="1"/>
    <col min="14862" max="14862" width="5.875" style="73" customWidth="1"/>
    <col min="14863" max="14864" width="9" style="73"/>
    <col min="14865" max="14865" width="6.125" style="73" customWidth="1"/>
    <col min="14866" max="14866" width="19.5" style="73" customWidth="1"/>
    <col min="14867" max="15097" width="9" style="73"/>
    <col min="15098" max="15098" width="6.875" style="73" customWidth="1"/>
    <col min="15099" max="15099" width="7.5" style="73" customWidth="1"/>
    <col min="15100" max="15100" width="6.75" style="73" customWidth="1"/>
    <col min="15101" max="15101" width="8.375" style="73" customWidth="1"/>
    <col min="15102" max="15102" width="4.5" style="73" customWidth="1"/>
    <col min="15103" max="15103" width="8.25" style="73" customWidth="1"/>
    <col min="15104" max="15104" width="3.75" style="73" customWidth="1"/>
    <col min="15105" max="15105" width="7.75" style="73" customWidth="1"/>
    <col min="15106" max="15106" width="3.75" style="73" customWidth="1"/>
    <col min="15107" max="15107" width="7.75" style="73" customWidth="1"/>
    <col min="15108" max="15108" width="3.75" style="73" customWidth="1"/>
    <col min="15109" max="15109" width="7.75" style="73" customWidth="1"/>
    <col min="15110" max="15110" width="3.75" style="73" customWidth="1"/>
    <col min="15111" max="15111" width="6.25" style="73" customWidth="1"/>
    <col min="15112" max="15112" width="9" style="73"/>
    <col min="15113" max="15113" width="12.625" style="73" customWidth="1"/>
    <col min="15114" max="15114" width="19.125" style="73" customWidth="1"/>
    <col min="15115" max="15115" width="4.75" style="73" customWidth="1"/>
    <col min="15116" max="15116" width="9.875" style="73" customWidth="1"/>
    <col min="15117" max="15117" width="11.375" style="73" customWidth="1"/>
    <col min="15118" max="15118" width="5.875" style="73" customWidth="1"/>
    <col min="15119" max="15120" width="9" style="73"/>
    <col min="15121" max="15121" width="6.125" style="73" customWidth="1"/>
    <col min="15122" max="15122" width="19.5" style="73" customWidth="1"/>
    <col min="15123" max="15353" width="9" style="73"/>
    <col min="15354" max="15354" width="6.875" style="73" customWidth="1"/>
    <col min="15355" max="15355" width="7.5" style="73" customWidth="1"/>
    <col min="15356" max="15356" width="6.75" style="73" customWidth="1"/>
    <col min="15357" max="15357" width="8.375" style="73" customWidth="1"/>
    <col min="15358" max="15358" width="4.5" style="73" customWidth="1"/>
    <col min="15359" max="15359" width="8.25" style="73" customWidth="1"/>
    <col min="15360" max="15360" width="3.75" style="73" customWidth="1"/>
    <col min="15361" max="15361" width="7.75" style="73" customWidth="1"/>
    <col min="15362" max="15362" width="3.75" style="73" customWidth="1"/>
    <col min="15363" max="15363" width="7.75" style="73" customWidth="1"/>
    <col min="15364" max="15364" width="3.75" style="73" customWidth="1"/>
    <col min="15365" max="15365" width="7.75" style="73" customWidth="1"/>
    <col min="15366" max="15366" width="3.75" style="73" customWidth="1"/>
    <col min="15367" max="15367" width="6.25" style="73" customWidth="1"/>
    <col min="15368" max="15368" width="9" style="73"/>
    <col min="15369" max="15369" width="12.625" style="73" customWidth="1"/>
    <col min="15370" max="15370" width="19.125" style="73" customWidth="1"/>
    <col min="15371" max="15371" width="4.75" style="73" customWidth="1"/>
    <col min="15372" max="15372" width="9.875" style="73" customWidth="1"/>
    <col min="15373" max="15373" width="11.375" style="73" customWidth="1"/>
    <col min="15374" max="15374" width="5.875" style="73" customWidth="1"/>
    <col min="15375" max="15376" width="9" style="73"/>
    <col min="15377" max="15377" width="6.125" style="73" customWidth="1"/>
    <col min="15378" max="15378" width="19.5" style="73" customWidth="1"/>
    <col min="15379" max="15609" width="9" style="73"/>
    <col min="15610" max="15610" width="6.875" style="73" customWidth="1"/>
    <col min="15611" max="15611" width="7.5" style="73" customWidth="1"/>
    <col min="15612" max="15612" width="6.75" style="73" customWidth="1"/>
    <col min="15613" max="15613" width="8.375" style="73" customWidth="1"/>
    <col min="15614" max="15614" width="4.5" style="73" customWidth="1"/>
    <col min="15615" max="15615" width="8.25" style="73" customWidth="1"/>
    <col min="15616" max="15616" width="3.75" style="73" customWidth="1"/>
    <col min="15617" max="15617" width="7.75" style="73" customWidth="1"/>
    <col min="15618" max="15618" width="3.75" style="73" customWidth="1"/>
    <col min="15619" max="15619" width="7.75" style="73" customWidth="1"/>
    <col min="15620" max="15620" width="3.75" style="73" customWidth="1"/>
    <col min="15621" max="15621" width="7.75" style="73" customWidth="1"/>
    <col min="15622" max="15622" width="3.75" style="73" customWidth="1"/>
    <col min="15623" max="15623" width="6.25" style="73" customWidth="1"/>
    <col min="15624" max="15624" width="9" style="73"/>
    <col min="15625" max="15625" width="12.625" style="73" customWidth="1"/>
    <col min="15626" max="15626" width="19.125" style="73" customWidth="1"/>
    <col min="15627" max="15627" width="4.75" style="73" customWidth="1"/>
    <col min="15628" max="15628" width="9.875" style="73" customWidth="1"/>
    <col min="15629" max="15629" width="11.375" style="73" customWidth="1"/>
    <col min="15630" max="15630" width="5.875" style="73" customWidth="1"/>
    <col min="15631" max="15632" width="9" style="73"/>
    <col min="15633" max="15633" width="6.125" style="73" customWidth="1"/>
    <col min="15634" max="15634" width="19.5" style="73" customWidth="1"/>
    <col min="15635" max="15865" width="9" style="73"/>
    <col min="15866" max="15866" width="6.875" style="73" customWidth="1"/>
    <col min="15867" max="15867" width="7.5" style="73" customWidth="1"/>
    <col min="15868" max="15868" width="6.75" style="73" customWidth="1"/>
    <col min="15869" max="15869" width="8.375" style="73" customWidth="1"/>
    <col min="15870" max="15870" width="4.5" style="73" customWidth="1"/>
    <col min="15871" max="15871" width="8.25" style="73" customWidth="1"/>
    <col min="15872" max="15872" width="3.75" style="73" customWidth="1"/>
    <col min="15873" max="15873" width="7.75" style="73" customWidth="1"/>
    <col min="15874" max="15874" width="3.75" style="73" customWidth="1"/>
    <col min="15875" max="15875" width="7.75" style="73" customWidth="1"/>
    <col min="15876" max="15876" width="3.75" style="73" customWidth="1"/>
    <col min="15877" max="15877" width="7.75" style="73" customWidth="1"/>
    <col min="15878" max="15878" width="3.75" style="73" customWidth="1"/>
    <col min="15879" max="15879" width="6.25" style="73" customWidth="1"/>
    <col min="15880" max="15880" width="9" style="73"/>
    <col min="15881" max="15881" width="12.625" style="73" customWidth="1"/>
    <col min="15882" max="15882" width="19.125" style="73" customWidth="1"/>
    <col min="15883" max="15883" width="4.75" style="73" customWidth="1"/>
    <col min="15884" max="15884" width="9.875" style="73" customWidth="1"/>
    <col min="15885" max="15885" width="11.375" style="73" customWidth="1"/>
    <col min="15886" max="15886" width="5.875" style="73" customWidth="1"/>
    <col min="15887" max="15888" width="9" style="73"/>
    <col min="15889" max="15889" width="6.125" style="73" customWidth="1"/>
    <col min="15890" max="15890" width="19.5" style="73" customWidth="1"/>
    <col min="15891" max="16121" width="9" style="73"/>
    <col min="16122" max="16122" width="6.875" style="73" customWidth="1"/>
    <col min="16123" max="16123" width="7.5" style="73" customWidth="1"/>
    <col min="16124" max="16124" width="6.75" style="73" customWidth="1"/>
    <col min="16125" max="16125" width="8.375" style="73" customWidth="1"/>
    <col min="16126" max="16126" width="4.5" style="73" customWidth="1"/>
    <col min="16127" max="16127" width="8.25" style="73" customWidth="1"/>
    <col min="16128" max="16128" width="3.75" style="73" customWidth="1"/>
    <col min="16129" max="16129" width="7.75" style="73" customWidth="1"/>
    <col min="16130" max="16130" width="3.75" style="73" customWidth="1"/>
    <col min="16131" max="16131" width="7.75" style="73" customWidth="1"/>
    <col min="16132" max="16132" width="3.75" style="73" customWidth="1"/>
    <col min="16133" max="16133" width="7.75" style="73" customWidth="1"/>
    <col min="16134" max="16134" width="3.75" style="73" customWidth="1"/>
    <col min="16135" max="16135" width="6.25" style="73" customWidth="1"/>
    <col min="16136" max="16136" width="9" style="73"/>
    <col min="16137" max="16137" width="12.625" style="73" customWidth="1"/>
    <col min="16138" max="16138" width="19.125" style="73" customWidth="1"/>
    <col min="16139" max="16139" width="4.75" style="73" customWidth="1"/>
    <col min="16140" max="16140" width="9.875" style="73" customWidth="1"/>
    <col min="16141" max="16141" width="11.375" style="73" customWidth="1"/>
    <col min="16142" max="16142" width="5.875" style="73" customWidth="1"/>
    <col min="16143" max="16144" width="9" style="73"/>
    <col min="16145" max="16145" width="6.125" style="73" customWidth="1"/>
    <col min="16146" max="16146" width="19.5" style="73" customWidth="1"/>
    <col min="16147" max="16384" width="9" style="73"/>
  </cols>
  <sheetData>
    <row r="1" spans="1:16" ht="15" customHeight="1">
      <c r="A1" s="67"/>
      <c r="B1" s="67"/>
      <c r="C1" s="68"/>
      <c r="D1" s="69"/>
      <c r="E1" s="70"/>
      <c r="F1" s="70"/>
      <c r="G1" s="70"/>
      <c r="H1" s="85"/>
    </row>
    <row r="2" spans="1:16" ht="15" customHeight="1">
      <c r="A2" s="71"/>
      <c r="B2" s="71"/>
      <c r="C2" s="71"/>
      <c r="D2" s="72"/>
      <c r="I2" s="107"/>
      <c r="J2" s="106"/>
      <c r="K2"/>
      <c r="L2"/>
      <c r="M2"/>
      <c r="N2"/>
      <c r="O2"/>
      <c r="P2"/>
    </row>
    <row r="3" spans="1:16" ht="15" customHeight="1">
      <c r="C3" s="74"/>
      <c r="D3" s="75"/>
      <c r="I3" s="108"/>
      <c r="J3" s="106"/>
      <c r="K3"/>
      <c r="L3"/>
      <c r="M3"/>
      <c r="N3"/>
      <c r="O3"/>
      <c r="P3"/>
    </row>
    <row r="4" spans="1:16" ht="15" customHeight="1">
      <c r="H4" s="86"/>
      <c r="I4" s="108"/>
      <c r="J4" s="106"/>
      <c r="K4"/>
      <c r="L4"/>
      <c r="M4"/>
      <c r="N4"/>
      <c r="O4"/>
      <c r="P4"/>
    </row>
    <row r="5" spans="1:16" ht="15" customHeight="1">
      <c r="C5" s="76"/>
      <c r="D5" s="76"/>
      <c r="E5" s="76"/>
      <c r="F5" s="76"/>
      <c r="G5" s="76"/>
      <c r="H5" s="87"/>
      <c r="I5" s="108"/>
      <c r="J5" s="106"/>
      <c r="K5"/>
      <c r="L5"/>
      <c r="M5"/>
      <c r="N5"/>
      <c r="O5"/>
      <c r="P5"/>
    </row>
    <row r="6" spans="1:16" ht="15" customHeight="1">
      <c r="C6" s="77"/>
      <c r="H6" s="87"/>
      <c r="I6" s="108"/>
      <c r="J6" s="106"/>
      <c r="K6"/>
      <c r="L6"/>
      <c r="M6"/>
      <c r="N6"/>
      <c r="O6"/>
      <c r="P6"/>
    </row>
    <row r="7" spans="1:16" ht="15" customHeight="1">
      <c r="H7" s="105"/>
      <c r="I7" s="108"/>
      <c r="J7" s="106"/>
      <c r="K7"/>
      <c r="L7"/>
      <c r="M7"/>
      <c r="N7"/>
      <c r="O7"/>
      <c r="P7"/>
    </row>
    <row r="8" spans="1:16" ht="15" customHeight="1">
      <c r="C8" s="78"/>
      <c r="D8" s="78"/>
      <c r="E8" s="78"/>
      <c r="F8" s="78"/>
      <c r="G8" s="78"/>
      <c r="H8" s="87"/>
      <c r="I8" s="108"/>
      <c r="J8" s="106"/>
      <c r="K8"/>
      <c r="L8"/>
      <c r="M8"/>
      <c r="N8"/>
      <c r="O8"/>
      <c r="P8"/>
    </row>
    <row r="9" spans="1:16" ht="15" customHeight="1">
      <c r="C9" s="79"/>
      <c r="D9" s="79"/>
      <c r="E9" s="79"/>
      <c r="F9" s="79"/>
      <c r="G9" s="79"/>
      <c r="H9" s="87"/>
      <c r="I9" s="108"/>
      <c r="J9" s="106"/>
      <c r="K9"/>
      <c r="L9"/>
      <c r="M9"/>
      <c r="N9"/>
      <c r="O9"/>
      <c r="P9"/>
    </row>
    <row r="10" spans="1:16" ht="15" customHeight="1">
      <c r="C10" s="80"/>
      <c r="D10" s="80"/>
      <c r="E10" s="80"/>
      <c r="F10" s="80"/>
      <c r="G10" s="80"/>
      <c r="H10" s="87"/>
      <c r="I10" s="108"/>
      <c r="J10" s="106"/>
      <c r="K10"/>
      <c r="L10"/>
      <c r="M10"/>
      <c r="N10"/>
      <c r="O10"/>
      <c r="P10"/>
    </row>
    <row r="11" spans="1:16" ht="15" customHeight="1">
      <c r="C11" s="80"/>
      <c r="D11" s="80"/>
      <c r="E11" s="80"/>
      <c r="F11" s="80"/>
      <c r="G11" s="80"/>
      <c r="H11" s="87"/>
      <c r="I11" s="108"/>
      <c r="J11" s="106"/>
      <c r="K11"/>
      <c r="L11"/>
      <c r="M11"/>
      <c r="N11"/>
      <c r="O11"/>
      <c r="P11"/>
    </row>
    <row r="12" spans="1:16" ht="18.75" hidden="1" customHeight="1">
      <c r="A12" s="81"/>
      <c r="B12" s="81"/>
      <c r="C12" s="80"/>
      <c r="D12" s="80"/>
      <c r="E12" s="80"/>
      <c r="F12" s="80"/>
      <c r="G12" s="80"/>
      <c r="H12" s="87"/>
      <c r="I12" s="108"/>
      <c r="J12" s="106"/>
      <c r="K12"/>
      <c r="L12"/>
      <c r="M12"/>
      <c r="N12"/>
      <c r="O12"/>
      <c r="P12"/>
    </row>
    <row r="13" spans="1:16" ht="15" customHeight="1">
      <c r="C13" s="82"/>
      <c r="D13" s="82"/>
      <c r="E13" s="82"/>
      <c r="F13" s="82"/>
      <c r="G13" s="82"/>
      <c r="H13" s="87"/>
      <c r="I13" s="108"/>
      <c r="J13" s="106"/>
      <c r="K13"/>
      <c r="L13"/>
      <c r="M13"/>
      <c r="N13"/>
      <c r="O13"/>
      <c r="P13"/>
    </row>
    <row r="14" spans="1:16" ht="15" customHeight="1">
      <c r="C14" s="80"/>
      <c r="D14" s="80"/>
      <c r="E14" s="80"/>
      <c r="F14" s="80"/>
      <c r="G14" s="80"/>
      <c r="H14" s="87"/>
      <c r="I14" s="108"/>
      <c r="J14" s="106"/>
      <c r="K14"/>
      <c r="L14"/>
      <c r="M14"/>
      <c r="N14"/>
      <c r="O14"/>
      <c r="P14"/>
    </row>
    <row r="15" spans="1:16" ht="15" customHeight="1">
      <c r="C15" s="80"/>
      <c r="D15" s="80"/>
      <c r="E15" s="80"/>
      <c r="F15" s="80"/>
      <c r="G15" s="80"/>
      <c r="H15" s="87"/>
      <c r="I15" s="108"/>
      <c r="J15" s="106"/>
      <c r="K15"/>
      <c r="L15"/>
      <c r="M15"/>
      <c r="N15"/>
      <c r="O15"/>
      <c r="P15"/>
    </row>
    <row r="16" spans="1:16" ht="18.75" hidden="1" customHeight="1">
      <c r="A16" s="81"/>
      <c r="B16" s="81"/>
      <c r="C16" s="80"/>
      <c r="D16" s="80"/>
      <c r="E16" s="80"/>
      <c r="F16" s="80"/>
      <c r="G16" s="80"/>
      <c r="H16" s="87"/>
      <c r="I16" s="108"/>
      <c r="J16" s="106"/>
      <c r="K16"/>
      <c r="L16"/>
      <c r="M16"/>
      <c r="N16"/>
      <c r="O16"/>
      <c r="P16"/>
    </row>
    <row r="17" spans="1:16" ht="15" customHeight="1">
      <c r="C17" s="83"/>
      <c r="D17" s="82"/>
      <c r="E17" s="82"/>
      <c r="F17" s="82"/>
      <c r="G17" s="82"/>
      <c r="H17" s="87"/>
      <c r="I17" s="108"/>
      <c r="J17" s="106"/>
      <c r="K17"/>
      <c r="L17"/>
      <c r="M17"/>
      <c r="N17"/>
      <c r="O17"/>
      <c r="P17"/>
    </row>
    <row r="18" spans="1:16" ht="15" customHeight="1" thickBot="1">
      <c r="H18" s="69"/>
      <c r="I18" s="109"/>
      <c r="J18" s="106"/>
      <c r="K18"/>
      <c r="L18"/>
      <c r="M18"/>
      <c r="N18"/>
      <c r="O18"/>
      <c r="P18"/>
    </row>
    <row r="19" spans="1:16" ht="15" customHeight="1">
      <c r="H19" s="69"/>
      <c r="I19" s="295" t="s">
        <v>61</v>
      </c>
      <c r="J19" s="296"/>
      <c r="K19" s="297"/>
    </row>
    <row r="20" spans="1:16" ht="15" customHeight="1" thickBot="1">
      <c r="H20" s="69"/>
      <c r="I20" s="298">
        <v>2123520</v>
      </c>
      <c r="J20" s="299"/>
      <c r="K20" s="88" t="s">
        <v>3</v>
      </c>
    </row>
    <row r="21" spans="1:16" ht="15" customHeight="1">
      <c r="I21" s="300" t="s">
        <v>126</v>
      </c>
      <c r="J21" s="301"/>
      <c r="K21" s="302"/>
      <c r="M21" s="73" t="s">
        <v>128</v>
      </c>
    </row>
    <row r="22" spans="1:16" ht="15" customHeight="1">
      <c r="C22" s="84"/>
      <c r="D22" s="84"/>
      <c r="E22" s="84"/>
      <c r="F22" s="84"/>
      <c r="G22" s="84"/>
      <c r="H22" s="69"/>
      <c r="I22" s="89" t="s">
        <v>4</v>
      </c>
      <c r="J22" s="90">
        <v>630000</v>
      </c>
      <c r="K22" s="91" t="s">
        <v>5</v>
      </c>
      <c r="M22" s="73" t="s">
        <v>129</v>
      </c>
    </row>
    <row r="23" spans="1:16" ht="15" customHeight="1">
      <c r="C23" s="84"/>
      <c r="D23" s="84"/>
      <c r="E23" s="84"/>
      <c r="F23" s="84"/>
      <c r="G23" s="84"/>
      <c r="I23" s="89" t="s">
        <v>6</v>
      </c>
      <c r="J23" s="92">
        <v>2080000</v>
      </c>
      <c r="K23" s="93" t="s">
        <v>5</v>
      </c>
    </row>
    <row r="24" spans="1:16" ht="15" customHeight="1" thickBot="1">
      <c r="I24" s="94" t="s">
        <v>7</v>
      </c>
      <c r="J24" s="95">
        <v>3305000</v>
      </c>
      <c r="K24" s="96" t="s">
        <v>5</v>
      </c>
    </row>
    <row r="25" spans="1:16" ht="15" customHeight="1" thickBot="1">
      <c r="I25" s="66" t="s">
        <v>60</v>
      </c>
    </row>
    <row r="26" spans="1:16" ht="15" customHeight="1" thickTop="1" thickBot="1">
      <c r="I26" s="293" t="s">
        <v>62</v>
      </c>
      <c r="J26" s="294"/>
      <c r="K26" s="97">
        <v>0</v>
      </c>
      <c r="M26" s="73" t="s">
        <v>130</v>
      </c>
    </row>
    <row r="27" spans="1:16" ht="15" customHeight="1" thickTop="1" thickBot="1">
      <c r="M27" s="73" t="s">
        <v>131</v>
      </c>
    </row>
    <row r="28" spans="1:16" ht="15" customHeight="1" thickBot="1">
      <c r="A28" s="289"/>
      <c r="B28" s="289"/>
      <c r="C28" s="98"/>
      <c r="D28" s="98"/>
      <c r="E28" s="98"/>
      <c r="F28" s="98"/>
      <c r="G28" s="98"/>
      <c r="I28" s="290" t="s">
        <v>200</v>
      </c>
      <c r="J28" s="291"/>
      <c r="K28" s="99">
        <v>1</v>
      </c>
      <c r="M28" s="73" t="s">
        <v>202</v>
      </c>
    </row>
    <row r="29" spans="1:16" ht="15" customHeight="1" thickBot="1">
      <c r="A29" s="292"/>
      <c r="B29" s="292"/>
      <c r="C29" s="100"/>
      <c r="D29" s="100"/>
      <c r="E29" s="100"/>
      <c r="F29" s="100"/>
      <c r="G29" s="100"/>
      <c r="I29" s="290" t="s">
        <v>201</v>
      </c>
      <c r="J29" s="291"/>
      <c r="K29" s="99">
        <v>1</v>
      </c>
      <c r="M29" s="73" t="s">
        <v>203</v>
      </c>
    </row>
    <row r="30" spans="1:16" ht="15" customHeight="1">
      <c r="C30" s="101"/>
      <c r="D30" s="101"/>
      <c r="E30" s="101"/>
      <c r="F30" s="101"/>
      <c r="G30" s="101"/>
      <c r="M30" s="73" t="s">
        <v>132</v>
      </c>
    </row>
    <row r="31" spans="1:16" ht="15" customHeight="1">
      <c r="A31" s="287"/>
      <c r="B31" s="288"/>
      <c r="C31" s="288"/>
      <c r="D31" s="288"/>
      <c r="E31" s="288"/>
      <c r="F31" s="288"/>
      <c r="G31" s="288"/>
      <c r="H31" s="288"/>
      <c r="I31" s="288"/>
      <c r="J31" s="288"/>
      <c r="K31" s="288"/>
      <c r="M31" s="73" t="s">
        <v>133</v>
      </c>
    </row>
    <row r="32" spans="1:16" ht="15" customHeight="1">
      <c r="A32" s="287"/>
      <c r="B32" s="288"/>
      <c r="C32" s="288"/>
      <c r="D32" s="288"/>
      <c r="E32" s="288"/>
      <c r="F32" s="288"/>
      <c r="G32" s="288"/>
      <c r="H32" s="288"/>
      <c r="I32" s="288"/>
      <c r="J32" s="288"/>
      <c r="K32" s="288"/>
    </row>
    <row r="33" spans="1:13" ht="15" customHeight="1">
      <c r="A33" s="287"/>
      <c r="B33" s="288"/>
      <c r="C33" s="288"/>
      <c r="D33" s="288"/>
      <c r="E33" s="288"/>
      <c r="F33" s="288"/>
      <c r="G33" s="288"/>
      <c r="H33" s="288"/>
      <c r="I33" s="288"/>
      <c r="J33" s="288"/>
      <c r="K33" s="288"/>
      <c r="M33" s="73" t="s">
        <v>204</v>
      </c>
    </row>
    <row r="34" spans="1:13" ht="15" customHeight="1">
      <c r="A34" s="287"/>
      <c r="B34" s="288"/>
      <c r="C34" s="288"/>
      <c r="D34" s="288"/>
      <c r="E34" s="288"/>
      <c r="F34" s="288"/>
      <c r="G34" s="288"/>
      <c r="H34" s="288"/>
      <c r="I34" s="288"/>
      <c r="J34" s="288"/>
      <c r="K34" s="288"/>
      <c r="M34" s="73" t="s">
        <v>205</v>
      </c>
    </row>
    <row r="35" spans="1:13" ht="15" customHeight="1">
      <c r="A35" s="287"/>
      <c r="B35" s="288"/>
      <c r="C35" s="288"/>
      <c r="D35" s="288"/>
      <c r="E35" s="288"/>
      <c r="F35" s="288"/>
      <c r="G35" s="288"/>
      <c r="H35" s="288"/>
      <c r="I35" s="288"/>
      <c r="J35" s="288"/>
      <c r="K35" s="288"/>
      <c r="M35" s="73" t="s">
        <v>203</v>
      </c>
    </row>
    <row r="36" spans="1:13" ht="15" customHeight="1">
      <c r="E36" s="102"/>
      <c r="G36" s="103"/>
      <c r="H36" s="104"/>
    </row>
    <row r="37" spans="1:13" ht="15" customHeight="1">
      <c r="E37" s="104"/>
      <c r="G37" s="103"/>
      <c r="H37" s="104"/>
    </row>
    <row r="38" spans="1:13" ht="15" customHeight="1">
      <c r="D38" s="103"/>
      <c r="E38" s="104"/>
    </row>
    <row r="39" spans="1:13" ht="15" customHeight="1">
      <c r="D39" s="103"/>
      <c r="E39" s="104"/>
    </row>
    <row r="41" spans="1:13" ht="15" customHeight="1">
      <c r="G41" s="103"/>
      <c r="H41" s="104"/>
    </row>
    <row r="42" spans="1:13" ht="15" customHeight="1">
      <c r="G42" s="103"/>
    </row>
    <row r="45" spans="1:13" ht="15" customHeight="1">
      <c r="H45" s="104"/>
    </row>
    <row r="46" spans="1:13" ht="15" customHeight="1">
      <c r="H46" s="102"/>
    </row>
    <row r="47" spans="1:13" ht="15" customHeight="1">
      <c r="D47" s="103"/>
      <c r="E47" s="104"/>
      <c r="H47" s="104"/>
    </row>
    <row r="48" spans="1:13" ht="15" customHeight="1">
      <c r="G48" s="103"/>
    </row>
    <row r="49" spans="7:7" ht="15" customHeight="1">
      <c r="G49" s="103"/>
    </row>
  </sheetData>
  <sheetProtection algorithmName="SHA-512" hashValue="oiEmdxfUHXVIbq/7bTOcSjsZOPbej7Bvhf1EhvVggmixFG16BnEPSrEI1zNZRQCAgL2GV48bL/JqCPtS5cgNsA==" saltValue="LVcVtjeaBWtaM7fruSVq8A==" spinCount="100000" sheet="1" objects="1" scenarios="1"/>
  <protectedRanges>
    <protectedRange sqref="D2" name="範囲1"/>
    <protectedRange sqref="C17:G17 C8:G8 C13:G13" name="範囲3"/>
    <protectedRange sqref="C9:G9" name="範囲3_2"/>
    <protectedRange sqref="C7:G7" name="範囲3_1_1_1_1"/>
  </protectedRanges>
  <mergeCells count="13">
    <mergeCell ref="I26:J26"/>
    <mergeCell ref="I19:K19"/>
    <mergeCell ref="I20:J20"/>
    <mergeCell ref="I21:K21"/>
    <mergeCell ref="A33:K33"/>
    <mergeCell ref="A34:K34"/>
    <mergeCell ref="A35:K35"/>
    <mergeCell ref="A28:B28"/>
    <mergeCell ref="I28:J28"/>
    <mergeCell ref="A29:B29"/>
    <mergeCell ref="A31:K31"/>
    <mergeCell ref="A32:K32"/>
    <mergeCell ref="I29:J29"/>
  </mergeCells>
  <phoneticPr fontId="4"/>
  <dataValidations disablePrompts="1" count="5">
    <dataValidation type="list" showInputMessage="1" showErrorMessage="1" sqref="IT65536 WVF983042 WLJ983042 WBN983042 VRR983042 VHV983042 UXZ983042 UOD983042 UEH983042 TUL983042 TKP983042 TAT983042 SQX983042 SHB983042 RXF983042 RNJ983042 RDN983042 QTR983042 QJV983042 PZZ983042 PQD983042 PGH983042 OWL983042 OMP983042 OCT983042 NSX983042 NJB983042 MZF983042 MPJ983042 MFN983042 LVR983042 LLV983042 LBZ983042 KSD983042 KIH983042 JYL983042 JOP983042 JET983042 IUX983042 ILB983042 IBF983042 HRJ983042 HHN983042 GXR983042 GNV983042 GDZ983042 FUD983042 FKH983042 FAL983042 EQP983042 EGT983042 DWX983042 DNB983042 DDF983042 CTJ983042 CJN983042 BZR983042 BPV983042 BFZ983042 AWD983042 AMH983042 ACL983042 SP983042 IT983042 C983044 WVF917506 WLJ917506 WBN917506 VRR917506 VHV917506 UXZ917506 UOD917506 UEH917506 TUL917506 TKP917506 TAT917506 SQX917506 SHB917506 RXF917506 RNJ917506 RDN917506 QTR917506 QJV917506 PZZ917506 PQD917506 PGH917506 OWL917506 OMP917506 OCT917506 NSX917506 NJB917506 MZF917506 MPJ917506 MFN917506 LVR917506 LLV917506 LBZ917506 KSD917506 KIH917506 JYL917506 JOP917506 JET917506 IUX917506 ILB917506 IBF917506 HRJ917506 HHN917506 GXR917506 GNV917506 GDZ917506 FUD917506 FKH917506 FAL917506 EQP917506 EGT917506 DWX917506 DNB917506 DDF917506 CTJ917506 CJN917506 BZR917506 BPV917506 BFZ917506 AWD917506 AMH917506 ACL917506 SP917506 IT917506 C917508 WVF851970 WLJ851970 WBN851970 VRR851970 VHV851970 UXZ851970 UOD851970 UEH851970 TUL851970 TKP851970 TAT851970 SQX851970 SHB851970 RXF851970 RNJ851970 RDN851970 QTR851970 QJV851970 PZZ851970 PQD851970 PGH851970 OWL851970 OMP851970 OCT851970 NSX851970 NJB851970 MZF851970 MPJ851970 MFN851970 LVR851970 LLV851970 LBZ851970 KSD851970 KIH851970 JYL851970 JOP851970 JET851970 IUX851970 ILB851970 IBF851970 HRJ851970 HHN851970 GXR851970 GNV851970 GDZ851970 FUD851970 FKH851970 FAL851970 EQP851970 EGT851970 DWX851970 DNB851970 DDF851970 CTJ851970 CJN851970 BZR851970 BPV851970 BFZ851970 AWD851970 AMH851970 ACL851970 SP851970 IT851970 C851972 WVF786434 WLJ786434 WBN786434 VRR786434 VHV786434 UXZ786434 UOD786434 UEH786434 TUL786434 TKP786434 TAT786434 SQX786434 SHB786434 RXF786434 RNJ786434 RDN786434 QTR786434 QJV786434 PZZ786434 PQD786434 PGH786434 OWL786434 OMP786434 OCT786434 NSX786434 NJB786434 MZF786434 MPJ786434 MFN786434 LVR786434 LLV786434 LBZ786434 KSD786434 KIH786434 JYL786434 JOP786434 JET786434 IUX786434 ILB786434 IBF786434 HRJ786434 HHN786434 GXR786434 GNV786434 GDZ786434 FUD786434 FKH786434 FAL786434 EQP786434 EGT786434 DWX786434 DNB786434 DDF786434 CTJ786434 CJN786434 BZR786434 BPV786434 BFZ786434 AWD786434 AMH786434 ACL786434 SP786434 IT786434 C786436 WVF720898 WLJ720898 WBN720898 VRR720898 VHV720898 UXZ720898 UOD720898 UEH720898 TUL720898 TKP720898 TAT720898 SQX720898 SHB720898 RXF720898 RNJ720898 RDN720898 QTR720898 QJV720898 PZZ720898 PQD720898 PGH720898 OWL720898 OMP720898 OCT720898 NSX720898 NJB720898 MZF720898 MPJ720898 MFN720898 LVR720898 LLV720898 LBZ720898 KSD720898 KIH720898 JYL720898 JOP720898 JET720898 IUX720898 ILB720898 IBF720898 HRJ720898 HHN720898 GXR720898 GNV720898 GDZ720898 FUD720898 FKH720898 FAL720898 EQP720898 EGT720898 DWX720898 DNB720898 DDF720898 CTJ720898 CJN720898 BZR720898 BPV720898 BFZ720898 AWD720898 AMH720898 ACL720898 SP720898 IT720898 C720900 WVF655362 WLJ655362 WBN655362 VRR655362 VHV655362 UXZ655362 UOD655362 UEH655362 TUL655362 TKP655362 TAT655362 SQX655362 SHB655362 RXF655362 RNJ655362 RDN655362 QTR655362 QJV655362 PZZ655362 PQD655362 PGH655362 OWL655362 OMP655362 OCT655362 NSX655362 NJB655362 MZF655362 MPJ655362 MFN655362 LVR655362 LLV655362 LBZ655362 KSD655362 KIH655362 JYL655362 JOP655362 JET655362 IUX655362 ILB655362 IBF655362 HRJ655362 HHN655362 GXR655362 GNV655362 GDZ655362 FUD655362 FKH655362 FAL655362 EQP655362 EGT655362 DWX655362 DNB655362 DDF655362 CTJ655362 CJN655362 BZR655362 BPV655362 BFZ655362 AWD655362 AMH655362 ACL655362 SP655362 IT655362 C655364 WVF589826 WLJ589826 WBN589826 VRR589826 VHV589826 UXZ589826 UOD589826 UEH589826 TUL589826 TKP589826 TAT589826 SQX589826 SHB589826 RXF589826 RNJ589826 RDN589826 QTR589826 QJV589826 PZZ589826 PQD589826 PGH589826 OWL589826 OMP589826 OCT589826 NSX589826 NJB589826 MZF589826 MPJ589826 MFN589826 LVR589826 LLV589826 LBZ589826 KSD589826 KIH589826 JYL589826 JOP589826 JET589826 IUX589826 ILB589826 IBF589826 HRJ589826 HHN589826 GXR589826 GNV589826 GDZ589826 FUD589826 FKH589826 FAL589826 EQP589826 EGT589826 DWX589826 DNB589826 DDF589826 CTJ589826 CJN589826 BZR589826 BPV589826 BFZ589826 AWD589826 AMH589826 ACL589826 SP589826 IT589826 C589828 WVF524290 WLJ524290 WBN524290 VRR524290 VHV524290 UXZ524290 UOD524290 UEH524290 TUL524290 TKP524290 TAT524290 SQX524290 SHB524290 RXF524290 RNJ524290 RDN524290 QTR524290 QJV524290 PZZ524290 PQD524290 PGH524290 OWL524290 OMP524290 OCT524290 NSX524290 NJB524290 MZF524290 MPJ524290 MFN524290 LVR524290 LLV524290 LBZ524290 KSD524290 KIH524290 JYL524290 JOP524290 JET524290 IUX524290 ILB524290 IBF524290 HRJ524290 HHN524290 GXR524290 GNV524290 GDZ524290 FUD524290 FKH524290 FAL524290 EQP524290 EGT524290 DWX524290 DNB524290 DDF524290 CTJ524290 CJN524290 BZR524290 BPV524290 BFZ524290 AWD524290 AMH524290 ACL524290 SP524290 IT524290 C524292 WVF458754 WLJ458754 WBN458754 VRR458754 VHV458754 UXZ458754 UOD458754 UEH458754 TUL458754 TKP458754 TAT458754 SQX458754 SHB458754 RXF458754 RNJ458754 RDN458754 QTR458754 QJV458754 PZZ458754 PQD458754 PGH458754 OWL458754 OMP458754 OCT458754 NSX458754 NJB458754 MZF458754 MPJ458754 MFN458754 LVR458754 LLV458754 LBZ458754 KSD458754 KIH458754 JYL458754 JOP458754 JET458754 IUX458754 ILB458754 IBF458754 HRJ458754 HHN458754 GXR458754 GNV458754 GDZ458754 FUD458754 FKH458754 FAL458754 EQP458754 EGT458754 DWX458754 DNB458754 DDF458754 CTJ458754 CJN458754 BZR458754 BPV458754 BFZ458754 AWD458754 AMH458754 ACL458754 SP458754 IT458754 C458756 WVF393218 WLJ393218 WBN393218 VRR393218 VHV393218 UXZ393218 UOD393218 UEH393218 TUL393218 TKP393218 TAT393218 SQX393218 SHB393218 RXF393218 RNJ393218 RDN393218 QTR393218 QJV393218 PZZ393218 PQD393218 PGH393218 OWL393218 OMP393218 OCT393218 NSX393218 NJB393218 MZF393218 MPJ393218 MFN393218 LVR393218 LLV393218 LBZ393218 KSD393218 KIH393218 JYL393218 JOP393218 JET393218 IUX393218 ILB393218 IBF393218 HRJ393218 HHN393218 GXR393218 GNV393218 GDZ393218 FUD393218 FKH393218 FAL393218 EQP393218 EGT393218 DWX393218 DNB393218 DDF393218 CTJ393218 CJN393218 BZR393218 BPV393218 BFZ393218 AWD393218 AMH393218 ACL393218 SP393218 IT393218 C393220 WVF327682 WLJ327682 WBN327682 VRR327682 VHV327682 UXZ327682 UOD327682 UEH327682 TUL327682 TKP327682 TAT327682 SQX327682 SHB327682 RXF327682 RNJ327682 RDN327682 QTR327682 QJV327682 PZZ327682 PQD327682 PGH327682 OWL327682 OMP327682 OCT327682 NSX327682 NJB327682 MZF327682 MPJ327682 MFN327682 LVR327682 LLV327682 LBZ327682 KSD327682 KIH327682 JYL327682 JOP327682 JET327682 IUX327682 ILB327682 IBF327682 HRJ327682 HHN327682 GXR327682 GNV327682 GDZ327682 FUD327682 FKH327682 FAL327682 EQP327682 EGT327682 DWX327682 DNB327682 DDF327682 CTJ327682 CJN327682 BZR327682 BPV327682 BFZ327682 AWD327682 AMH327682 ACL327682 SP327682 IT327682 C327684 WVF262146 WLJ262146 WBN262146 VRR262146 VHV262146 UXZ262146 UOD262146 UEH262146 TUL262146 TKP262146 TAT262146 SQX262146 SHB262146 RXF262146 RNJ262146 RDN262146 QTR262146 QJV262146 PZZ262146 PQD262146 PGH262146 OWL262146 OMP262146 OCT262146 NSX262146 NJB262146 MZF262146 MPJ262146 MFN262146 LVR262146 LLV262146 LBZ262146 KSD262146 KIH262146 JYL262146 JOP262146 JET262146 IUX262146 ILB262146 IBF262146 HRJ262146 HHN262146 GXR262146 GNV262146 GDZ262146 FUD262146 FKH262146 FAL262146 EQP262146 EGT262146 DWX262146 DNB262146 DDF262146 CTJ262146 CJN262146 BZR262146 BPV262146 BFZ262146 AWD262146 AMH262146 ACL262146 SP262146 IT262146 C262148 WVF196610 WLJ196610 WBN196610 VRR196610 VHV196610 UXZ196610 UOD196610 UEH196610 TUL196610 TKP196610 TAT196610 SQX196610 SHB196610 RXF196610 RNJ196610 RDN196610 QTR196610 QJV196610 PZZ196610 PQD196610 PGH196610 OWL196610 OMP196610 OCT196610 NSX196610 NJB196610 MZF196610 MPJ196610 MFN196610 LVR196610 LLV196610 LBZ196610 KSD196610 KIH196610 JYL196610 JOP196610 JET196610 IUX196610 ILB196610 IBF196610 HRJ196610 HHN196610 GXR196610 GNV196610 GDZ196610 FUD196610 FKH196610 FAL196610 EQP196610 EGT196610 DWX196610 DNB196610 DDF196610 CTJ196610 CJN196610 BZR196610 BPV196610 BFZ196610 AWD196610 AMH196610 ACL196610 SP196610 IT196610 C196612 WVF131074 WLJ131074 WBN131074 VRR131074 VHV131074 UXZ131074 UOD131074 UEH131074 TUL131074 TKP131074 TAT131074 SQX131074 SHB131074 RXF131074 RNJ131074 RDN131074 QTR131074 QJV131074 PZZ131074 PQD131074 PGH131074 OWL131074 OMP131074 OCT131074 NSX131074 NJB131074 MZF131074 MPJ131074 MFN131074 LVR131074 LLV131074 LBZ131074 KSD131074 KIH131074 JYL131074 JOP131074 JET131074 IUX131074 ILB131074 IBF131074 HRJ131074 HHN131074 GXR131074 GNV131074 GDZ131074 FUD131074 FKH131074 FAL131074 EQP131074 EGT131074 DWX131074 DNB131074 DDF131074 CTJ131074 CJN131074 BZR131074 BPV131074 BFZ131074 AWD131074 AMH131074 ACL131074 SP131074 IT131074 C131076 WVF65538 WLJ65538 WBN65538 VRR65538 VHV65538 UXZ65538 UOD65538 UEH65538 TUL65538 TKP65538 TAT65538 SQX65538 SHB65538 RXF65538 RNJ65538 RDN65538 QTR65538 QJV65538 PZZ65538 PQD65538 PGH65538 OWL65538 OMP65538 OCT65538 NSX65538 NJB65538 MZF65538 MPJ65538 MFN65538 LVR65538 LLV65538 LBZ65538 KSD65538 KIH65538 JYL65538 JOP65538 JET65538 IUX65538 ILB65538 IBF65538 HRJ65538 HHN65538 GXR65538 GNV65538 GDZ65538 FUD65538 FKH65538 FAL65538 EQP65538 EGT65538 DWX65538 DNB65538 DDF65538 CTJ65538 CJN65538 BZR65538 BPV65538 BFZ65538 AWD65538 AMH65538 ACL65538 SP65538 IT65538 C65540 WVF983040 WLJ983040 WBN983040 VRR983040 VHV983040 UXZ983040 UOD983040 UEH983040 TUL983040 TKP983040 TAT983040 SQX983040 SHB983040 RXF983040 RNJ983040 RDN983040 QTR983040 QJV983040 PZZ983040 PQD983040 PGH983040 OWL983040 OMP983040 OCT983040 NSX983040 NJB983040 MZF983040 MPJ983040 MFN983040 LVR983040 LLV983040 LBZ983040 KSD983040 KIH983040 JYL983040 JOP983040 JET983040 IUX983040 ILB983040 IBF983040 HRJ983040 HHN983040 GXR983040 GNV983040 GDZ983040 FUD983040 FKH983040 FAL983040 EQP983040 EGT983040 DWX983040 DNB983040 DDF983040 CTJ983040 CJN983040 BZR983040 BPV983040 BFZ983040 AWD983040 AMH983040 ACL983040 SP983040 IT983040 C983042 WVF917504 WLJ917504 WBN917504 VRR917504 VHV917504 UXZ917504 UOD917504 UEH917504 TUL917504 TKP917504 TAT917504 SQX917504 SHB917504 RXF917504 RNJ917504 RDN917504 QTR917504 QJV917504 PZZ917504 PQD917504 PGH917504 OWL917504 OMP917504 OCT917504 NSX917504 NJB917504 MZF917504 MPJ917504 MFN917504 LVR917504 LLV917504 LBZ917504 KSD917504 KIH917504 JYL917504 JOP917504 JET917504 IUX917504 ILB917504 IBF917504 HRJ917504 HHN917504 GXR917504 GNV917504 GDZ917504 FUD917504 FKH917504 FAL917504 EQP917504 EGT917504 DWX917504 DNB917504 DDF917504 CTJ917504 CJN917504 BZR917504 BPV917504 BFZ917504 AWD917504 AMH917504 ACL917504 SP917504 IT917504 C917506 WVF851968 WLJ851968 WBN851968 VRR851968 VHV851968 UXZ851968 UOD851968 UEH851968 TUL851968 TKP851968 TAT851968 SQX851968 SHB851968 RXF851968 RNJ851968 RDN851968 QTR851968 QJV851968 PZZ851968 PQD851968 PGH851968 OWL851968 OMP851968 OCT851968 NSX851968 NJB851968 MZF851968 MPJ851968 MFN851968 LVR851968 LLV851968 LBZ851968 KSD851968 KIH851968 JYL851968 JOP851968 JET851968 IUX851968 ILB851968 IBF851968 HRJ851968 HHN851968 GXR851968 GNV851968 GDZ851968 FUD851968 FKH851968 FAL851968 EQP851968 EGT851968 DWX851968 DNB851968 DDF851968 CTJ851968 CJN851968 BZR851968 BPV851968 BFZ851968 AWD851968 AMH851968 ACL851968 SP851968 IT851968 C851970 WVF786432 WLJ786432 WBN786432 VRR786432 VHV786432 UXZ786432 UOD786432 UEH786432 TUL786432 TKP786432 TAT786432 SQX786432 SHB786432 RXF786432 RNJ786432 RDN786432 QTR786432 QJV786432 PZZ786432 PQD786432 PGH786432 OWL786432 OMP786432 OCT786432 NSX786432 NJB786432 MZF786432 MPJ786432 MFN786432 LVR786432 LLV786432 LBZ786432 KSD786432 KIH786432 JYL786432 JOP786432 JET786432 IUX786432 ILB786432 IBF786432 HRJ786432 HHN786432 GXR786432 GNV786432 GDZ786432 FUD786432 FKH786432 FAL786432 EQP786432 EGT786432 DWX786432 DNB786432 DDF786432 CTJ786432 CJN786432 BZR786432 BPV786432 BFZ786432 AWD786432 AMH786432 ACL786432 SP786432 IT786432 C786434 WVF720896 WLJ720896 WBN720896 VRR720896 VHV720896 UXZ720896 UOD720896 UEH720896 TUL720896 TKP720896 TAT720896 SQX720896 SHB720896 RXF720896 RNJ720896 RDN720896 QTR720896 QJV720896 PZZ720896 PQD720896 PGH720896 OWL720896 OMP720896 OCT720896 NSX720896 NJB720896 MZF720896 MPJ720896 MFN720896 LVR720896 LLV720896 LBZ720896 KSD720896 KIH720896 JYL720896 JOP720896 JET720896 IUX720896 ILB720896 IBF720896 HRJ720896 HHN720896 GXR720896 GNV720896 GDZ720896 FUD720896 FKH720896 FAL720896 EQP720896 EGT720896 DWX720896 DNB720896 DDF720896 CTJ720896 CJN720896 BZR720896 BPV720896 BFZ720896 AWD720896 AMH720896 ACL720896 SP720896 IT720896 C720898 WVF655360 WLJ655360 WBN655360 VRR655360 VHV655360 UXZ655360 UOD655360 UEH655360 TUL655360 TKP655360 TAT655360 SQX655360 SHB655360 RXF655360 RNJ655360 RDN655360 QTR655360 QJV655360 PZZ655360 PQD655360 PGH655360 OWL655360 OMP655360 OCT655360 NSX655360 NJB655360 MZF655360 MPJ655360 MFN655360 LVR655360 LLV655360 LBZ655360 KSD655360 KIH655360 JYL655360 JOP655360 JET655360 IUX655360 ILB655360 IBF655360 HRJ655360 HHN655360 GXR655360 GNV655360 GDZ655360 FUD655360 FKH655360 FAL655360 EQP655360 EGT655360 DWX655360 DNB655360 DDF655360 CTJ655360 CJN655360 BZR655360 BPV655360 BFZ655360 AWD655360 AMH655360 ACL655360 SP655360 IT655360 C655362 WVF589824 WLJ589824 WBN589824 VRR589824 VHV589824 UXZ589824 UOD589824 UEH589824 TUL589824 TKP589824 TAT589824 SQX589824 SHB589824 RXF589824 RNJ589824 RDN589824 QTR589824 QJV589824 PZZ589824 PQD589824 PGH589824 OWL589824 OMP589824 OCT589824 NSX589824 NJB589824 MZF589824 MPJ589824 MFN589824 LVR589824 LLV589824 LBZ589824 KSD589824 KIH589824 JYL589824 JOP589824 JET589824 IUX589824 ILB589824 IBF589824 HRJ589824 HHN589824 GXR589824 GNV589824 GDZ589824 FUD589824 FKH589824 FAL589824 EQP589824 EGT589824 DWX589824 DNB589824 DDF589824 CTJ589824 CJN589824 BZR589824 BPV589824 BFZ589824 AWD589824 AMH589824 ACL589824 SP589824 IT589824 C589826 WVF524288 WLJ524288 WBN524288 VRR524288 VHV524288 UXZ524288 UOD524288 UEH524288 TUL524288 TKP524288 TAT524288 SQX524288 SHB524288 RXF524288 RNJ524288 RDN524288 QTR524288 QJV524288 PZZ524288 PQD524288 PGH524288 OWL524288 OMP524288 OCT524288 NSX524288 NJB524288 MZF524288 MPJ524288 MFN524288 LVR524288 LLV524288 LBZ524288 KSD524288 KIH524288 JYL524288 JOP524288 JET524288 IUX524288 ILB524288 IBF524288 HRJ524288 HHN524288 GXR524288 GNV524288 GDZ524288 FUD524288 FKH524288 FAL524288 EQP524288 EGT524288 DWX524288 DNB524288 DDF524288 CTJ524288 CJN524288 BZR524288 BPV524288 BFZ524288 AWD524288 AMH524288 ACL524288 SP524288 IT524288 C524290 WVF458752 WLJ458752 WBN458752 VRR458752 VHV458752 UXZ458752 UOD458752 UEH458752 TUL458752 TKP458752 TAT458752 SQX458752 SHB458752 RXF458752 RNJ458752 RDN458752 QTR458752 QJV458752 PZZ458752 PQD458752 PGH458752 OWL458752 OMP458752 OCT458752 NSX458752 NJB458752 MZF458752 MPJ458752 MFN458752 LVR458752 LLV458752 LBZ458752 KSD458752 KIH458752 JYL458752 JOP458752 JET458752 IUX458752 ILB458752 IBF458752 HRJ458752 HHN458752 GXR458752 GNV458752 GDZ458752 FUD458752 FKH458752 FAL458752 EQP458752 EGT458752 DWX458752 DNB458752 DDF458752 CTJ458752 CJN458752 BZR458752 BPV458752 BFZ458752 AWD458752 AMH458752 ACL458752 SP458752 IT458752 C458754 WVF393216 WLJ393216 WBN393216 VRR393216 VHV393216 UXZ393216 UOD393216 UEH393216 TUL393216 TKP393216 TAT393216 SQX393216 SHB393216 RXF393216 RNJ393216 RDN393216 QTR393216 QJV393216 PZZ393216 PQD393216 PGH393216 OWL393216 OMP393216 OCT393216 NSX393216 NJB393216 MZF393216 MPJ393216 MFN393216 LVR393216 LLV393216 LBZ393216 KSD393216 KIH393216 JYL393216 JOP393216 JET393216 IUX393216 ILB393216 IBF393216 HRJ393216 HHN393216 GXR393216 GNV393216 GDZ393216 FUD393216 FKH393216 FAL393216 EQP393216 EGT393216 DWX393216 DNB393216 DDF393216 CTJ393216 CJN393216 BZR393216 BPV393216 BFZ393216 AWD393216 AMH393216 ACL393216 SP393216 IT393216 C393218 WVF327680 WLJ327680 WBN327680 VRR327680 VHV327680 UXZ327680 UOD327680 UEH327680 TUL327680 TKP327680 TAT327680 SQX327680 SHB327680 RXF327680 RNJ327680 RDN327680 QTR327680 QJV327680 PZZ327680 PQD327680 PGH327680 OWL327680 OMP327680 OCT327680 NSX327680 NJB327680 MZF327680 MPJ327680 MFN327680 LVR327680 LLV327680 LBZ327680 KSD327680 KIH327680 JYL327680 JOP327680 JET327680 IUX327680 ILB327680 IBF327680 HRJ327680 HHN327680 GXR327680 GNV327680 GDZ327680 FUD327680 FKH327680 FAL327680 EQP327680 EGT327680 DWX327680 DNB327680 DDF327680 CTJ327680 CJN327680 BZR327680 BPV327680 BFZ327680 AWD327680 AMH327680 ACL327680 SP327680 IT327680 C327682 WVF262144 WLJ262144 WBN262144 VRR262144 VHV262144 UXZ262144 UOD262144 UEH262144 TUL262144 TKP262144 TAT262144 SQX262144 SHB262144 RXF262144 RNJ262144 RDN262144 QTR262144 QJV262144 PZZ262144 PQD262144 PGH262144 OWL262144 OMP262144 OCT262144 NSX262144 NJB262144 MZF262144 MPJ262144 MFN262144 LVR262144 LLV262144 LBZ262144 KSD262144 KIH262144 JYL262144 JOP262144 JET262144 IUX262144 ILB262144 IBF262144 HRJ262144 HHN262144 GXR262144 GNV262144 GDZ262144 FUD262144 FKH262144 FAL262144 EQP262144 EGT262144 DWX262144 DNB262144 DDF262144 CTJ262144 CJN262144 BZR262144 BPV262144 BFZ262144 AWD262144 AMH262144 ACL262144 SP262144 IT262144 C262146 WVF196608 WLJ196608 WBN196608 VRR196608 VHV196608 UXZ196608 UOD196608 UEH196608 TUL196608 TKP196608 TAT196608 SQX196608 SHB196608 RXF196608 RNJ196608 RDN196608 QTR196608 QJV196608 PZZ196608 PQD196608 PGH196608 OWL196608 OMP196608 OCT196608 NSX196608 NJB196608 MZF196608 MPJ196608 MFN196608 LVR196608 LLV196608 LBZ196608 KSD196608 KIH196608 JYL196608 JOP196608 JET196608 IUX196608 ILB196608 IBF196608 HRJ196608 HHN196608 GXR196608 GNV196608 GDZ196608 FUD196608 FKH196608 FAL196608 EQP196608 EGT196608 DWX196608 DNB196608 DDF196608 CTJ196608 CJN196608 BZR196608 BPV196608 BFZ196608 AWD196608 AMH196608 ACL196608 SP196608 IT196608 C196610 WVF131072 WLJ131072 WBN131072 VRR131072 VHV131072 UXZ131072 UOD131072 UEH131072 TUL131072 TKP131072 TAT131072 SQX131072 SHB131072 RXF131072 RNJ131072 RDN131072 QTR131072 QJV131072 PZZ131072 PQD131072 PGH131072 OWL131072 OMP131072 OCT131072 NSX131072 NJB131072 MZF131072 MPJ131072 MFN131072 LVR131072 LLV131072 LBZ131072 KSD131072 KIH131072 JYL131072 JOP131072 JET131072 IUX131072 ILB131072 IBF131072 HRJ131072 HHN131072 GXR131072 GNV131072 GDZ131072 FUD131072 FKH131072 FAL131072 EQP131072 EGT131072 DWX131072 DNB131072 DDF131072 CTJ131072 CJN131072 BZR131072 BPV131072 BFZ131072 AWD131072 AMH131072 ACL131072 SP131072 IT131072 C131074 WVF65536 WLJ65536 WBN65536 VRR65536 VHV65536 UXZ65536 UOD65536 UEH65536 TUL65536 TKP65536 TAT65536 SQX65536 SHB65536 RXF65536 RNJ65536 RDN65536 QTR65536 QJV65536 PZZ65536 PQD65536 PGH65536 OWL65536 OMP65536 OCT65536 NSX65536 NJB65536 MZF65536 MPJ65536 MFN65536 LVR65536 LLV65536 LBZ65536 KSD65536 KIH65536 JYL65536 JOP65536 JET65536 IUX65536 ILB65536 IBF65536 HRJ65536 HHN65536 GXR65536 GNV65536 GDZ65536 FUD65536 FKH65536 FAL65536 EQP65536 EGT65536 DWX65536 DNB65536 DDF65536 CTJ65536 CJN65536 BZR65536 BPV65536 BFZ65536 AWD65536 AMH65536 ACL65536 SP65536" xr:uid="{00000000-0002-0000-0000-000000000000}">
      <formula1>$D$296:$D$303</formula1>
    </dataValidation>
    <dataValidation type="list" showInputMessage="1" showErrorMessage="1" sqref="IT65546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IT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SP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ACL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MH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C65548:G65548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C131084:G131084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C196620:G196620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C262156:G262156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C327692:G327692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C393228:G393228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C458764:G458764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C524300:G524300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C589836:G589836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C655372:G655372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C720908:G720908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C786444:G786444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C851980:G851980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C917516:G917516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C983052:G983052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xr:uid="{00000000-0002-0000-0000-000001000000}">
      <formula1>$C$35:$C$36</formula1>
    </dataValidation>
    <dataValidation type="date" imeMode="off" allowBlank="1" showInputMessage="1" showErrorMessage="1" errorTitle="入力エラー" error="1971/11/3 や H4/3/21 等の形式で入力してください。" promptTitle="生年月日を入力してください。" prompt="この日付で介護分の対象（40～64歳）か、国保の対象者（74歳まで）かを判定します。" sqref="C7:G7" xr:uid="{00000000-0002-0000-0000-000002000000}">
      <formula1>1</formula1>
      <formula2>73050</formula2>
    </dataValidation>
    <dataValidation type="list" imeMode="disabled" allowBlank="1" showInputMessage="1" showErrorMessage="1" errorTitle="入力エラー" error="「する」か「しない」で入力してください。" promptTitle="世帯主は国保に加入しますか？" prompt="世帯主が国保加入なら「する」_x000a_世帯主が国保加入しないなら「しない」_x000a_を選んでください。" sqref="D2" xr:uid="{00000000-0002-0000-0000-000003000000}">
      <formula1>"する,しない"</formula1>
    </dataValidation>
    <dataValidation type="list" allowBlank="1" showInputMessage="1" showErrorMessage="1" sqref="WVD983039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5 SN65535 ACJ65535 AMF65535 AWB65535 BFX65535 BPT65535 BZP65535 CJL65535 CTH65535 DDD65535 DMZ65535 DWV65535 EGR65535 EQN65535 FAJ65535 FKF65535 FUB65535 GDX65535 GNT65535 GXP65535 HHL65535 HRH65535 IBD65535 IKZ65535 IUV65535 JER65535 JON65535 JYJ65535 KIF65535 KSB65535 LBX65535 LLT65535 LVP65535 MFL65535 MPH65535 MZD65535 NIZ65535 NSV65535 OCR65535 OMN65535 OWJ65535 PGF65535 PQB65535 PZX65535 QJT65535 QTP65535 RDL65535 RNH65535 RXD65535 SGZ65535 SQV65535 TAR65535 TKN65535 TUJ65535 UEF65535 UOB65535 UXX65535 VHT65535 VRP65535 WBL65535 WLH65535 WVD65535 A131073 IR131071 SN131071 ACJ131071 AMF131071 AWB131071 BFX131071 BPT131071 BZP131071 CJL131071 CTH131071 DDD131071 DMZ131071 DWV131071 EGR131071 EQN131071 FAJ131071 FKF131071 FUB131071 GDX131071 GNT131071 GXP131071 HHL131071 HRH131071 IBD131071 IKZ131071 IUV131071 JER131071 JON131071 JYJ131071 KIF131071 KSB131071 LBX131071 LLT131071 LVP131071 MFL131071 MPH131071 MZD131071 NIZ131071 NSV131071 OCR131071 OMN131071 OWJ131071 PGF131071 PQB131071 PZX131071 QJT131071 QTP131071 RDL131071 RNH131071 RXD131071 SGZ131071 SQV131071 TAR131071 TKN131071 TUJ131071 UEF131071 UOB131071 UXX131071 VHT131071 VRP131071 WBL131071 WLH131071 WVD131071 A196609 IR196607 SN196607 ACJ196607 AMF196607 AWB196607 BFX196607 BPT196607 BZP196607 CJL196607 CTH196607 DDD196607 DMZ196607 DWV196607 EGR196607 EQN196607 FAJ196607 FKF196607 FUB196607 GDX196607 GNT196607 GXP196607 HHL196607 HRH196607 IBD196607 IKZ196607 IUV196607 JER196607 JON196607 JYJ196607 KIF196607 KSB196607 LBX196607 LLT196607 LVP196607 MFL196607 MPH196607 MZD196607 NIZ196607 NSV196607 OCR196607 OMN196607 OWJ196607 PGF196607 PQB196607 PZX196607 QJT196607 QTP196607 RDL196607 RNH196607 RXD196607 SGZ196607 SQV196607 TAR196607 TKN196607 TUJ196607 UEF196607 UOB196607 UXX196607 VHT196607 VRP196607 WBL196607 WLH196607 WVD196607 A262145 IR262143 SN262143 ACJ262143 AMF262143 AWB262143 BFX262143 BPT262143 BZP262143 CJL262143 CTH262143 DDD262143 DMZ262143 DWV262143 EGR262143 EQN262143 FAJ262143 FKF262143 FUB262143 GDX262143 GNT262143 GXP262143 HHL262143 HRH262143 IBD262143 IKZ262143 IUV262143 JER262143 JON262143 JYJ262143 KIF262143 KSB262143 LBX262143 LLT262143 LVP262143 MFL262143 MPH262143 MZD262143 NIZ262143 NSV262143 OCR262143 OMN262143 OWJ262143 PGF262143 PQB262143 PZX262143 QJT262143 QTP262143 RDL262143 RNH262143 RXD262143 SGZ262143 SQV262143 TAR262143 TKN262143 TUJ262143 UEF262143 UOB262143 UXX262143 VHT262143 VRP262143 WBL262143 WLH262143 WVD262143 A327681 IR327679 SN327679 ACJ327679 AMF327679 AWB327679 BFX327679 BPT327679 BZP327679 CJL327679 CTH327679 DDD327679 DMZ327679 DWV327679 EGR327679 EQN327679 FAJ327679 FKF327679 FUB327679 GDX327679 GNT327679 GXP327679 HHL327679 HRH327679 IBD327679 IKZ327679 IUV327679 JER327679 JON327679 JYJ327679 KIF327679 KSB327679 LBX327679 LLT327679 LVP327679 MFL327679 MPH327679 MZD327679 NIZ327679 NSV327679 OCR327679 OMN327679 OWJ327679 PGF327679 PQB327679 PZX327679 QJT327679 QTP327679 RDL327679 RNH327679 RXD327679 SGZ327679 SQV327679 TAR327679 TKN327679 TUJ327679 UEF327679 UOB327679 UXX327679 VHT327679 VRP327679 WBL327679 WLH327679 WVD327679 A393217 IR393215 SN393215 ACJ393215 AMF393215 AWB393215 BFX393215 BPT393215 BZP393215 CJL393215 CTH393215 DDD393215 DMZ393215 DWV393215 EGR393215 EQN393215 FAJ393215 FKF393215 FUB393215 GDX393215 GNT393215 GXP393215 HHL393215 HRH393215 IBD393215 IKZ393215 IUV393215 JER393215 JON393215 JYJ393215 KIF393215 KSB393215 LBX393215 LLT393215 LVP393215 MFL393215 MPH393215 MZD393215 NIZ393215 NSV393215 OCR393215 OMN393215 OWJ393215 PGF393215 PQB393215 PZX393215 QJT393215 QTP393215 RDL393215 RNH393215 RXD393215 SGZ393215 SQV393215 TAR393215 TKN393215 TUJ393215 UEF393215 UOB393215 UXX393215 VHT393215 VRP393215 WBL393215 WLH393215 WVD393215 A458753 IR458751 SN458751 ACJ458751 AMF458751 AWB458751 BFX458751 BPT458751 BZP458751 CJL458751 CTH458751 DDD458751 DMZ458751 DWV458751 EGR458751 EQN458751 FAJ458751 FKF458751 FUB458751 GDX458751 GNT458751 GXP458751 HHL458751 HRH458751 IBD458751 IKZ458751 IUV458751 JER458751 JON458751 JYJ458751 KIF458751 KSB458751 LBX458751 LLT458751 LVP458751 MFL458751 MPH458751 MZD458751 NIZ458751 NSV458751 OCR458751 OMN458751 OWJ458751 PGF458751 PQB458751 PZX458751 QJT458751 QTP458751 RDL458751 RNH458751 RXD458751 SGZ458751 SQV458751 TAR458751 TKN458751 TUJ458751 UEF458751 UOB458751 UXX458751 VHT458751 VRP458751 WBL458751 WLH458751 WVD458751 A524289 IR524287 SN524287 ACJ524287 AMF524287 AWB524287 BFX524287 BPT524287 BZP524287 CJL524287 CTH524287 DDD524287 DMZ524287 DWV524287 EGR524287 EQN524287 FAJ524287 FKF524287 FUB524287 GDX524287 GNT524287 GXP524287 HHL524287 HRH524287 IBD524287 IKZ524287 IUV524287 JER524287 JON524287 JYJ524287 KIF524287 KSB524287 LBX524287 LLT524287 LVP524287 MFL524287 MPH524287 MZD524287 NIZ524287 NSV524287 OCR524287 OMN524287 OWJ524287 PGF524287 PQB524287 PZX524287 QJT524287 QTP524287 RDL524287 RNH524287 RXD524287 SGZ524287 SQV524287 TAR524287 TKN524287 TUJ524287 UEF524287 UOB524287 UXX524287 VHT524287 VRP524287 WBL524287 WLH524287 WVD524287 A589825 IR589823 SN589823 ACJ589823 AMF589823 AWB589823 BFX589823 BPT589823 BZP589823 CJL589823 CTH589823 DDD589823 DMZ589823 DWV589823 EGR589823 EQN589823 FAJ589823 FKF589823 FUB589823 GDX589823 GNT589823 GXP589823 HHL589823 HRH589823 IBD589823 IKZ589823 IUV589823 JER589823 JON589823 JYJ589823 KIF589823 KSB589823 LBX589823 LLT589823 LVP589823 MFL589823 MPH589823 MZD589823 NIZ589823 NSV589823 OCR589823 OMN589823 OWJ589823 PGF589823 PQB589823 PZX589823 QJT589823 QTP589823 RDL589823 RNH589823 RXD589823 SGZ589823 SQV589823 TAR589823 TKN589823 TUJ589823 UEF589823 UOB589823 UXX589823 VHT589823 VRP589823 WBL589823 WLH589823 WVD589823 A655361 IR655359 SN655359 ACJ655359 AMF655359 AWB655359 BFX655359 BPT655359 BZP655359 CJL655359 CTH655359 DDD655359 DMZ655359 DWV655359 EGR655359 EQN655359 FAJ655359 FKF655359 FUB655359 GDX655359 GNT655359 GXP655359 HHL655359 HRH655359 IBD655359 IKZ655359 IUV655359 JER655359 JON655359 JYJ655359 KIF655359 KSB655359 LBX655359 LLT655359 LVP655359 MFL655359 MPH655359 MZD655359 NIZ655359 NSV655359 OCR655359 OMN655359 OWJ655359 PGF655359 PQB655359 PZX655359 QJT655359 QTP655359 RDL655359 RNH655359 RXD655359 SGZ655359 SQV655359 TAR655359 TKN655359 TUJ655359 UEF655359 UOB655359 UXX655359 VHT655359 VRP655359 WBL655359 WLH655359 WVD655359 A720897 IR720895 SN720895 ACJ720895 AMF720895 AWB720895 BFX720895 BPT720895 BZP720895 CJL720895 CTH720895 DDD720895 DMZ720895 DWV720895 EGR720895 EQN720895 FAJ720895 FKF720895 FUB720895 GDX720895 GNT720895 GXP720895 HHL720895 HRH720895 IBD720895 IKZ720895 IUV720895 JER720895 JON720895 JYJ720895 KIF720895 KSB720895 LBX720895 LLT720895 LVP720895 MFL720895 MPH720895 MZD720895 NIZ720895 NSV720895 OCR720895 OMN720895 OWJ720895 PGF720895 PQB720895 PZX720895 QJT720895 QTP720895 RDL720895 RNH720895 RXD720895 SGZ720895 SQV720895 TAR720895 TKN720895 TUJ720895 UEF720895 UOB720895 UXX720895 VHT720895 VRP720895 WBL720895 WLH720895 WVD720895 A786433 IR786431 SN786431 ACJ786431 AMF786431 AWB786431 BFX786431 BPT786431 BZP786431 CJL786431 CTH786431 DDD786431 DMZ786431 DWV786431 EGR786431 EQN786431 FAJ786431 FKF786431 FUB786431 GDX786431 GNT786431 GXP786431 HHL786431 HRH786431 IBD786431 IKZ786431 IUV786431 JER786431 JON786431 JYJ786431 KIF786431 KSB786431 LBX786431 LLT786431 LVP786431 MFL786431 MPH786431 MZD786431 NIZ786431 NSV786431 OCR786431 OMN786431 OWJ786431 PGF786431 PQB786431 PZX786431 QJT786431 QTP786431 RDL786431 RNH786431 RXD786431 SGZ786431 SQV786431 TAR786431 TKN786431 TUJ786431 UEF786431 UOB786431 UXX786431 VHT786431 VRP786431 WBL786431 WLH786431 WVD786431 A851969 IR851967 SN851967 ACJ851967 AMF851967 AWB851967 BFX851967 BPT851967 BZP851967 CJL851967 CTH851967 DDD851967 DMZ851967 DWV851967 EGR851967 EQN851967 FAJ851967 FKF851967 FUB851967 GDX851967 GNT851967 GXP851967 HHL851967 HRH851967 IBD851967 IKZ851967 IUV851967 JER851967 JON851967 JYJ851967 KIF851967 KSB851967 LBX851967 LLT851967 LVP851967 MFL851967 MPH851967 MZD851967 NIZ851967 NSV851967 OCR851967 OMN851967 OWJ851967 PGF851967 PQB851967 PZX851967 QJT851967 QTP851967 RDL851967 RNH851967 RXD851967 SGZ851967 SQV851967 TAR851967 TKN851967 TUJ851967 UEF851967 UOB851967 UXX851967 VHT851967 VRP851967 WBL851967 WLH851967 WVD851967 A917505 IR917503 SN917503 ACJ917503 AMF917503 AWB917503 BFX917503 BPT917503 BZP917503 CJL917503 CTH917503 DDD917503 DMZ917503 DWV917503 EGR917503 EQN917503 FAJ917503 FKF917503 FUB917503 GDX917503 GNT917503 GXP917503 HHL917503 HRH917503 IBD917503 IKZ917503 IUV917503 JER917503 JON917503 JYJ917503 KIF917503 KSB917503 LBX917503 LLT917503 LVP917503 MFL917503 MPH917503 MZD917503 NIZ917503 NSV917503 OCR917503 OMN917503 OWJ917503 PGF917503 PQB917503 PZX917503 QJT917503 QTP917503 RDL917503 RNH917503 RXD917503 SGZ917503 SQV917503 TAR917503 TKN917503 TUJ917503 UEF917503 UOB917503 UXX917503 VHT917503 VRP917503 WBL917503 WLH917503 WVD917503 A983041 IR983039 SN983039 ACJ983039 AMF983039 AWB983039 BFX983039 BPT983039 BZP983039 CJL983039 CTH983039 DDD983039 DMZ983039 DWV983039 EGR983039 EQN983039 FAJ983039 FKF983039 FUB983039 GDX983039 GNT983039 GXP983039 HHL983039 HRH983039 IBD983039 IKZ983039 IUV983039 JER983039 JON983039 JYJ983039 KIF983039 KSB983039 LBX983039 LLT983039 LVP983039 MFL983039 MPH983039 MZD983039 NIZ983039 NSV983039 OCR983039 OMN983039 OWJ983039 PGF983039 PQB983039 PZX983039 QJT983039 QTP983039 RDL983039 RNH983039 RXD983039 SGZ983039 SQV983039 TAR983039 TKN983039 TUJ983039 UEF983039 UOB983039 UXX983039 VHT983039 VRP983039 WBL983039 WLH983039" xr:uid="{00000000-0002-0000-0000-000004000000}">
      <formula1>#REF!</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r:uid="{00000000-0002-0000-0000-000005000000}">
          <x14:formula1>
            <xm:f>作業・変換!$D$80:$D$87</xm:f>
          </x14:formula1>
          <xm:sqref>C65538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60"/>
  <sheetViews>
    <sheetView tabSelected="1" zoomScaleNormal="100" workbookViewId="0">
      <selection activeCell="D2" sqref="D2"/>
    </sheetView>
  </sheetViews>
  <sheetFormatPr defaultRowHeight="15" customHeight="1"/>
  <cols>
    <col min="1" max="1" width="6.75" customWidth="1"/>
    <col min="2" max="2" width="8.375" customWidth="1"/>
    <col min="3" max="7" width="12.5" customWidth="1"/>
    <col min="9" max="9" width="5.25" bestFit="1" customWidth="1"/>
    <col min="10" max="10" width="21.5" customWidth="1"/>
    <col min="11" max="11" width="7.125" bestFit="1" customWidth="1"/>
    <col min="12" max="12" width="38" customWidth="1"/>
    <col min="13" max="13" width="11.375" customWidth="1"/>
    <col min="14" max="14" width="5.875" customWidth="1"/>
    <col min="17" max="17" width="6.125" customWidth="1"/>
    <col min="18" max="18" width="19.5" customWidth="1"/>
    <col min="250" max="250" width="6.875" customWidth="1"/>
    <col min="251" max="251" width="7.5" customWidth="1"/>
    <col min="252" max="252" width="6.75" customWidth="1"/>
    <col min="253" max="253" width="8.375" customWidth="1"/>
    <col min="254" max="254" width="4.5" customWidth="1"/>
    <col min="255" max="255" width="8.25" customWidth="1"/>
    <col min="256" max="256" width="3.75" customWidth="1"/>
    <col min="257" max="257" width="7.75" customWidth="1"/>
    <col min="258" max="258" width="3.75" customWidth="1"/>
    <col min="259" max="259" width="7.75" customWidth="1"/>
    <col min="260" max="260" width="3.75" customWidth="1"/>
    <col min="261" max="261" width="7.75" customWidth="1"/>
    <col min="262" max="262" width="3.75" customWidth="1"/>
    <col min="263" max="263" width="6.25" customWidth="1"/>
    <col min="265" max="265" width="12.625" customWidth="1"/>
    <col min="266" max="266" width="19.125" customWidth="1"/>
    <col min="267" max="267" width="4.75" customWidth="1"/>
    <col min="268" max="268" width="9.875" customWidth="1"/>
    <col min="269" max="269" width="11.375" customWidth="1"/>
    <col min="270" max="270" width="5.875" customWidth="1"/>
    <col min="273" max="273" width="6.125" customWidth="1"/>
    <col min="274" max="274" width="19.5" customWidth="1"/>
    <col min="506" max="506" width="6.875" customWidth="1"/>
    <col min="507" max="507" width="7.5" customWidth="1"/>
    <col min="508" max="508" width="6.75" customWidth="1"/>
    <col min="509" max="509" width="8.375" customWidth="1"/>
    <col min="510" max="510" width="4.5" customWidth="1"/>
    <col min="511" max="511" width="8.25" customWidth="1"/>
    <col min="512" max="512" width="3.75" customWidth="1"/>
    <col min="513" max="513" width="7.75" customWidth="1"/>
    <col min="514" max="514" width="3.75" customWidth="1"/>
    <col min="515" max="515" width="7.75" customWidth="1"/>
    <col min="516" max="516" width="3.75" customWidth="1"/>
    <col min="517" max="517" width="7.75" customWidth="1"/>
    <col min="518" max="518" width="3.75" customWidth="1"/>
    <col min="519" max="519" width="6.25" customWidth="1"/>
    <col min="521" max="521" width="12.625" customWidth="1"/>
    <col min="522" max="522" width="19.125" customWidth="1"/>
    <col min="523" max="523" width="4.75" customWidth="1"/>
    <col min="524" max="524" width="9.875" customWidth="1"/>
    <col min="525" max="525" width="11.375" customWidth="1"/>
    <col min="526" max="526" width="5.875" customWidth="1"/>
    <col min="529" max="529" width="6.125" customWidth="1"/>
    <col min="530" max="530" width="19.5" customWidth="1"/>
    <col min="762" max="762" width="6.875" customWidth="1"/>
    <col min="763" max="763" width="7.5" customWidth="1"/>
    <col min="764" max="764" width="6.75" customWidth="1"/>
    <col min="765" max="765" width="8.375" customWidth="1"/>
    <col min="766" max="766" width="4.5" customWidth="1"/>
    <col min="767" max="767" width="8.25" customWidth="1"/>
    <col min="768" max="768" width="3.75" customWidth="1"/>
    <col min="769" max="769" width="7.75" customWidth="1"/>
    <col min="770" max="770" width="3.75" customWidth="1"/>
    <col min="771" max="771" width="7.75" customWidth="1"/>
    <col min="772" max="772" width="3.75" customWidth="1"/>
    <col min="773" max="773" width="7.75" customWidth="1"/>
    <col min="774" max="774" width="3.75" customWidth="1"/>
    <col min="775" max="775" width="6.25" customWidth="1"/>
    <col min="777" max="777" width="12.625" customWidth="1"/>
    <col min="778" max="778" width="19.125" customWidth="1"/>
    <col min="779" max="779" width="4.75" customWidth="1"/>
    <col min="780" max="780" width="9.875" customWidth="1"/>
    <col min="781" max="781" width="11.375" customWidth="1"/>
    <col min="782" max="782" width="5.875" customWidth="1"/>
    <col min="785" max="785" width="6.125" customWidth="1"/>
    <col min="786" max="786" width="19.5" customWidth="1"/>
    <col min="1018" max="1018" width="6.875" customWidth="1"/>
    <col min="1019" max="1019" width="7.5" customWidth="1"/>
    <col min="1020" max="1020" width="6.75" customWidth="1"/>
    <col min="1021" max="1021" width="8.375" customWidth="1"/>
    <col min="1022" max="1022" width="4.5" customWidth="1"/>
    <col min="1023" max="1023" width="8.25" customWidth="1"/>
    <col min="1024" max="1024" width="3.75" customWidth="1"/>
    <col min="1025" max="1025" width="7.75" customWidth="1"/>
    <col min="1026" max="1026" width="3.75" customWidth="1"/>
    <col min="1027" max="1027" width="7.75" customWidth="1"/>
    <col min="1028" max="1028" width="3.75" customWidth="1"/>
    <col min="1029" max="1029" width="7.75" customWidth="1"/>
    <col min="1030" max="1030" width="3.75" customWidth="1"/>
    <col min="1031" max="1031" width="6.25" customWidth="1"/>
    <col min="1033" max="1033" width="12.625" customWidth="1"/>
    <col min="1034" max="1034" width="19.125" customWidth="1"/>
    <col min="1035" max="1035" width="4.75" customWidth="1"/>
    <col min="1036" max="1036" width="9.875" customWidth="1"/>
    <col min="1037" max="1037" width="11.375" customWidth="1"/>
    <col min="1038" max="1038" width="5.875" customWidth="1"/>
    <col min="1041" max="1041" width="6.125" customWidth="1"/>
    <col min="1042" max="1042" width="19.5" customWidth="1"/>
    <col min="1274" max="1274" width="6.875" customWidth="1"/>
    <col min="1275" max="1275" width="7.5" customWidth="1"/>
    <col min="1276" max="1276" width="6.75" customWidth="1"/>
    <col min="1277" max="1277" width="8.375" customWidth="1"/>
    <col min="1278" max="1278" width="4.5" customWidth="1"/>
    <col min="1279" max="1279" width="8.25" customWidth="1"/>
    <col min="1280" max="1280" width="3.75" customWidth="1"/>
    <col min="1281" max="1281" width="7.75" customWidth="1"/>
    <col min="1282" max="1282" width="3.75" customWidth="1"/>
    <col min="1283" max="1283" width="7.75" customWidth="1"/>
    <col min="1284" max="1284" width="3.75" customWidth="1"/>
    <col min="1285" max="1285" width="7.75" customWidth="1"/>
    <col min="1286" max="1286" width="3.75" customWidth="1"/>
    <col min="1287" max="1287" width="6.25" customWidth="1"/>
    <col min="1289" max="1289" width="12.625" customWidth="1"/>
    <col min="1290" max="1290" width="19.125" customWidth="1"/>
    <col min="1291" max="1291" width="4.75" customWidth="1"/>
    <col min="1292" max="1292" width="9.875" customWidth="1"/>
    <col min="1293" max="1293" width="11.375" customWidth="1"/>
    <col min="1294" max="1294" width="5.875" customWidth="1"/>
    <col min="1297" max="1297" width="6.125" customWidth="1"/>
    <col min="1298" max="1298" width="19.5" customWidth="1"/>
    <col min="1530" max="1530" width="6.875" customWidth="1"/>
    <col min="1531" max="1531" width="7.5" customWidth="1"/>
    <col min="1532" max="1532" width="6.75" customWidth="1"/>
    <col min="1533" max="1533" width="8.375" customWidth="1"/>
    <col min="1534" max="1534" width="4.5" customWidth="1"/>
    <col min="1535" max="1535" width="8.25" customWidth="1"/>
    <col min="1536" max="1536" width="3.75" customWidth="1"/>
    <col min="1537" max="1537" width="7.75" customWidth="1"/>
    <col min="1538" max="1538" width="3.75" customWidth="1"/>
    <col min="1539" max="1539" width="7.75" customWidth="1"/>
    <col min="1540" max="1540" width="3.75" customWidth="1"/>
    <col min="1541" max="1541" width="7.75" customWidth="1"/>
    <col min="1542" max="1542" width="3.75" customWidth="1"/>
    <col min="1543" max="1543" width="6.25" customWidth="1"/>
    <col min="1545" max="1545" width="12.625" customWidth="1"/>
    <col min="1546" max="1546" width="19.125" customWidth="1"/>
    <col min="1547" max="1547" width="4.75" customWidth="1"/>
    <col min="1548" max="1548" width="9.875" customWidth="1"/>
    <col min="1549" max="1549" width="11.375" customWidth="1"/>
    <col min="1550" max="1550" width="5.875" customWidth="1"/>
    <col min="1553" max="1553" width="6.125" customWidth="1"/>
    <col min="1554" max="1554" width="19.5" customWidth="1"/>
    <col min="1786" max="1786" width="6.875" customWidth="1"/>
    <col min="1787" max="1787" width="7.5" customWidth="1"/>
    <col min="1788" max="1788" width="6.75" customWidth="1"/>
    <col min="1789" max="1789" width="8.375" customWidth="1"/>
    <col min="1790" max="1790" width="4.5" customWidth="1"/>
    <col min="1791" max="1791" width="8.25" customWidth="1"/>
    <col min="1792" max="1792" width="3.75" customWidth="1"/>
    <col min="1793" max="1793" width="7.75" customWidth="1"/>
    <col min="1794" max="1794" width="3.75" customWidth="1"/>
    <col min="1795" max="1795" width="7.75" customWidth="1"/>
    <col min="1796" max="1796" width="3.75" customWidth="1"/>
    <col min="1797" max="1797" width="7.75" customWidth="1"/>
    <col min="1798" max="1798" width="3.75" customWidth="1"/>
    <col min="1799" max="1799" width="6.25" customWidth="1"/>
    <col min="1801" max="1801" width="12.625" customWidth="1"/>
    <col min="1802" max="1802" width="19.125" customWidth="1"/>
    <col min="1803" max="1803" width="4.75" customWidth="1"/>
    <col min="1804" max="1804" width="9.875" customWidth="1"/>
    <col min="1805" max="1805" width="11.375" customWidth="1"/>
    <col min="1806" max="1806" width="5.875" customWidth="1"/>
    <col min="1809" max="1809" width="6.125" customWidth="1"/>
    <col min="1810" max="1810" width="19.5" customWidth="1"/>
    <col min="2042" max="2042" width="6.875" customWidth="1"/>
    <col min="2043" max="2043" width="7.5" customWidth="1"/>
    <col min="2044" max="2044" width="6.75" customWidth="1"/>
    <col min="2045" max="2045" width="8.375" customWidth="1"/>
    <col min="2046" max="2046" width="4.5" customWidth="1"/>
    <col min="2047" max="2047" width="8.25" customWidth="1"/>
    <col min="2048" max="2048" width="3.75" customWidth="1"/>
    <col min="2049" max="2049" width="7.75" customWidth="1"/>
    <col min="2050" max="2050" width="3.75" customWidth="1"/>
    <col min="2051" max="2051" width="7.75" customWidth="1"/>
    <col min="2052" max="2052" width="3.75" customWidth="1"/>
    <col min="2053" max="2053" width="7.75" customWidth="1"/>
    <col min="2054" max="2054" width="3.75" customWidth="1"/>
    <col min="2055" max="2055" width="6.25" customWidth="1"/>
    <col min="2057" max="2057" width="12.625" customWidth="1"/>
    <col min="2058" max="2058" width="19.125" customWidth="1"/>
    <col min="2059" max="2059" width="4.75" customWidth="1"/>
    <col min="2060" max="2060" width="9.875" customWidth="1"/>
    <col min="2061" max="2061" width="11.375" customWidth="1"/>
    <col min="2062" max="2062" width="5.875" customWidth="1"/>
    <col min="2065" max="2065" width="6.125" customWidth="1"/>
    <col min="2066" max="2066" width="19.5" customWidth="1"/>
    <col min="2298" max="2298" width="6.875" customWidth="1"/>
    <col min="2299" max="2299" width="7.5" customWidth="1"/>
    <col min="2300" max="2300" width="6.75" customWidth="1"/>
    <col min="2301" max="2301" width="8.375" customWidth="1"/>
    <col min="2302" max="2302" width="4.5" customWidth="1"/>
    <col min="2303" max="2303" width="8.25" customWidth="1"/>
    <col min="2304" max="2304" width="3.75" customWidth="1"/>
    <col min="2305" max="2305" width="7.75" customWidth="1"/>
    <col min="2306" max="2306" width="3.75" customWidth="1"/>
    <col min="2307" max="2307" width="7.75" customWidth="1"/>
    <col min="2308" max="2308" width="3.75" customWidth="1"/>
    <col min="2309" max="2309" width="7.75" customWidth="1"/>
    <col min="2310" max="2310" width="3.75" customWidth="1"/>
    <col min="2311" max="2311" width="6.25" customWidth="1"/>
    <col min="2313" max="2313" width="12.625" customWidth="1"/>
    <col min="2314" max="2314" width="19.125" customWidth="1"/>
    <col min="2315" max="2315" width="4.75" customWidth="1"/>
    <col min="2316" max="2316" width="9.875" customWidth="1"/>
    <col min="2317" max="2317" width="11.375" customWidth="1"/>
    <col min="2318" max="2318" width="5.875" customWidth="1"/>
    <col min="2321" max="2321" width="6.125" customWidth="1"/>
    <col min="2322" max="2322" width="19.5" customWidth="1"/>
    <col min="2554" max="2554" width="6.875" customWidth="1"/>
    <col min="2555" max="2555" width="7.5" customWidth="1"/>
    <col min="2556" max="2556" width="6.75" customWidth="1"/>
    <col min="2557" max="2557" width="8.375" customWidth="1"/>
    <col min="2558" max="2558" width="4.5" customWidth="1"/>
    <col min="2559" max="2559" width="8.25" customWidth="1"/>
    <col min="2560" max="2560" width="3.75" customWidth="1"/>
    <col min="2561" max="2561" width="7.75" customWidth="1"/>
    <col min="2562" max="2562" width="3.75" customWidth="1"/>
    <col min="2563" max="2563" width="7.75" customWidth="1"/>
    <col min="2564" max="2564" width="3.75" customWidth="1"/>
    <col min="2565" max="2565" width="7.75" customWidth="1"/>
    <col min="2566" max="2566" width="3.75" customWidth="1"/>
    <col min="2567" max="2567" width="6.25" customWidth="1"/>
    <col min="2569" max="2569" width="12.625" customWidth="1"/>
    <col min="2570" max="2570" width="19.125" customWidth="1"/>
    <col min="2571" max="2571" width="4.75" customWidth="1"/>
    <col min="2572" max="2572" width="9.875" customWidth="1"/>
    <col min="2573" max="2573" width="11.375" customWidth="1"/>
    <col min="2574" max="2574" width="5.875" customWidth="1"/>
    <col min="2577" max="2577" width="6.125" customWidth="1"/>
    <col min="2578" max="2578" width="19.5" customWidth="1"/>
    <col min="2810" max="2810" width="6.875" customWidth="1"/>
    <col min="2811" max="2811" width="7.5" customWidth="1"/>
    <col min="2812" max="2812" width="6.75" customWidth="1"/>
    <col min="2813" max="2813" width="8.375" customWidth="1"/>
    <col min="2814" max="2814" width="4.5" customWidth="1"/>
    <col min="2815" max="2815" width="8.25" customWidth="1"/>
    <col min="2816" max="2816" width="3.75" customWidth="1"/>
    <col min="2817" max="2817" width="7.75" customWidth="1"/>
    <col min="2818" max="2818" width="3.75" customWidth="1"/>
    <col min="2819" max="2819" width="7.75" customWidth="1"/>
    <col min="2820" max="2820" width="3.75" customWidth="1"/>
    <col min="2821" max="2821" width="7.75" customWidth="1"/>
    <col min="2822" max="2822" width="3.75" customWidth="1"/>
    <col min="2823" max="2823" width="6.25" customWidth="1"/>
    <col min="2825" max="2825" width="12.625" customWidth="1"/>
    <col min="2826" max="2826" width="19.125" customWidth="1"/>
    <col min="2827" max="2827" width="4.75" customWidth="1"/>
    <col min="2828" max="2828" width="9.875" customWidth="1"/>
    <col min="2829" max="2829" width="11.375" customWidth="1"/>
    <col min="2830" max="2830" width="5.875" customWidth="1"/>
    <col min="2833" max="2833" width="6.125" customWidth="1"/>
    <col min="2834" max="2834" width="19.5" customWidth="1"/>
    <col min="3066" max="3066" width="6.875" customWidth="1"/>
    <col min="3067" max="3067" width="7.5" customWidth="1"/>
    <col min="3068" max="3068" width="6.75" customWidth="1"/>
    <col min="3069" max="3069" width="8.375" customWidth="1"/>
    <col min="3070" max="3070" width="4.5" customWidth="1"/>
    <col min="3071" max="3071" width="8.25" customWidth="1"/>
    <col min="3072" max="3072" width="3.75" customWidth="1"/>
    <col min="3073" max="3073" width="7.75" customWidth="1"/>
    <col min="3074" max="3074" width="3.75" customWidth="1"/>
    <col min="3075" max="3075" width="7.75" customWidth="1"/>
    <col min="3076" max="3076" width="3.75" customWidth="1"/>
    <col min="3077" max="3077" width="7.75" customWidth="1"/>
    <col min="3078" max="3078" width="3.75" customWidth="1"/>
    <col min="3079" max="3079" width="6.25" customWidth="1"/>
    <col min="3081" max="3081" width="12.625" customWidth="1"/>
    <col min="3082" max="3082" width="19.125" customWidth="1"/>
    <col min="3083" max="3083" width="4.75" customWidth="1"/>
    <col min="3084" max="3084" width="9.875" customWidth="1"/>
    <col min="3085" max="3085" width="11.375" customWidth="1"/>
    <col min="3086" max="3086" width="5.875" customWidth="1"/>
    <col min="3089" max="3089" width="6.125" customWidth="1"/>
    <col min="3090" max="3090" width="19.5" customWidth="1"/>
    <col min="3322" max="3322" width="6.875" customWidth="1"/>
    <col min="3323" max="3323" width="7.5" customWidth="1"/>
    <col min="3324" max="3324" width="6.75" customWidth="1"/>
    <col min="3325" max="3325" width="8.375" customWidth="1"/>
    <col min="3326" max="3326" width="4.5" customWidth="1"/>
    <col min="3327" max="3327" width="8.25" customWidth="1"/>
    <col min="3328" max="3328" width="3.75" customWidth="1"/>
    <col min="3329" max="3329" width="7.75" customWidth="1"/>
    <col min="3330" max="3330" width="3.75" customWidth="1"/>
    <col min="3331" max="3331" width="7.75" customWidth="1"/>
    <col min="3332" max="3332" width="3.75" customWidth="1"/>
    <col min="3333" max="3333" width="7.75" customWidth="1"/>
    <col min="3334" max="3334" width="3.75" customWidth="1"/>
    <col min="3335" max="3335" width="6.25" customWidth="1"/>
    <col min="3337" max="3337" width="12.625" customWidth="1"/>
    <col min="3338" max="3338" width="19.125" customWidth="1"/>
    <col min="3339" max="3339" width="4.75" customWidth="1"/>
    <col min="3340" max="3340" width="9.875" customWidth="1"/>
    <col min="3341" max="3341" width="11.375" customWidth="1"/>
    <col min="3342" max="3342" width="5.875" customWidth="1"/>
    <col min="3345" max="3345" width="6.125" customWidth="1"/>
    <col min="3346" max="3346" width="19.5" customWidth="1"/>
    <col min="3578" max="3578" width="6.875" customWidth="1"/>
    <col min="3579" max="3579" width="7.5" customWidth="1"/>
    <col min="3580" max="3580" width="6.75" customWidth="1"/>
    <col min="3581" max="3581" width="8.375" customWidth="1"/>
    <col min="3582" max="3582" width="4.5" customWidth="1"/>
    <col min="3583" max="3583" width="8.25" customWidth="1"/>
    <col min="3584" max="3584" width="3.75" customWidth="1"/>
    <col min="3585" max="3585" width="7.75" customWidth="1"/>
    <col min="3586" max="3586" width="3.75" customWidth="1"/>
    <col min="3587" max="3587" width="7.75" customWidth="1"/>
    <col min="3588" max="3588" width="3.75" customWidth="1"/>
    <col min="3589" max="3589" width="7.75" customWidth="1"/>
    <col min="3590" max="3590" width="3.75" customWidth="1"/>
    <col min="3591" max="3591" width="6.25" customWidth="1"/>
    <col min="3593" max="3593" width="12.625" customWidth="1"/>
    <col min="3594" max="3594" width="19.125" customWidth="1"/>
    <col min="3595" max="3595" width="4.75" customWidth="1"/>
    <col min="3596" max="3596" width="9.875" customWidth="1"/>
    <col min="3597" max="3597" width="11.375" customWidth="1"/>
    <col min="3598" max="3598" width="5.875" customWidth="1"/>
    <col min="3601" max="3601" width="6.125" customWidth="1"/>
    <col min="3602" max="3602" width="19.5" customWidth="1"/>
    <col min="3834" max="3834" width="6.875" customWidth="1"/>
    <col min="3835" max="3835" width="7.5" customWidth="1"/>
    <col min="3836" max="3836" width="6.75" customWidth="1"/>
    <col min="3837" max="3837" width="8.375" customWidth="1"/>
    <col min="3838" max="3838" width="4.5" customWidth="1"/>
    <col min="3839" max="3839" width="8.25" customWidth="1"/>
    <col min="3840" max="3840" width="3.75" customWidth="1"/>
    <col min="3841" max="3841" width="7.75" customWidth="1"/>
    <col min="3842" max="3842" width="3.75" customWidth="1"/>
    <col min="3843" max="3843" width="7.75" customWidth="1"/>
    <col min="3844" max="3844" width="3.75" customWidth="1"/>
    <col min="3845" max="3845" width="7.75" customWidth="1"/>
    <col min="3846" max="3846" width="3.75" customWidth="1"/>
    <col min="3847" max="3847" width="6.25" customWidth="1"/>
    <col min="3849" max="3849" width="12.625" customWidth="1"/>
    <col min="3850" max="3850" width="19.125" customWidth="1"/>
    <col min="3851" max="3851" width="4.75" customWidth="1"/>
    <col min="3852" max="3852" width="9.875" customWidth="1"/>
    <col min="3853" max="3853" width="11.375" customWidth="1"/>
    <col min="3854" max="3854" width="5.875" customWidth="1"/>
    <col min="3857" max="3857" width="6.125" customWidth="1"/>
    <col min="3858" max="3858" width="19.5" customWidth="1"/>
    <col min="4090" max="4090" width="6.875" customWidth="1"/>
    <col min="4091" max="4091" width="7.5" customWidth="1"/>
    <col min="4092" max="4092" width="6.75" customWidth="1"/>
    <col min="4093" max="4093" width="8.375" customWidth="1"/>
    <col min="4094" max="4094" width="4.5" customWidth="1"/>
    <col min="4095" max="4095" width="8.25" customWidth="1"/>
    <col min="4096" max="4096" width="3.75" customWidth="1"/>
    <col min="4097" max="4097" width="7.75" customWidth="1"/>
    <col min="4098" max="4098" width="3.75" customWidth="1"/>
    <col min="4099" max="4099" width="7.75" customWidth="1"/>
    <col min="4100" max="4100" width="3.75" customWidth="1"/>
    <col min="4101" max="4101" width="7.75" customWidth="1"/>
    <col min="4102" max="4102" width="3.75" customWidth="1"/>
    <col min="4103" max="4103" width="6.25" customWidth="1"/>
    <col min="4105" max="4105" width="12.625" customWidth="1"/>
    <col min="4106" max="4106" width="19.125" customWidth="1"/>
    <col min="4107" max="4107" width="4.75" customWidth="1"/>
    <col min="4108" max="4108" width="9.875" customWidth="1"/>
    <col min="4109" max="4109" width="11.375" customWidth="1"/>
    <col min="4110" max="4110" width="5.875" customWidth="1"/>
    <col min="4113" max="4113" width="6.125" customWidth="1"/>
    <col min="4114" max="4114" width="19.5" customWidth="1"/>
    <col min="4346" max="4346" width="6.875" customWidth="1"/>
    <col min="4347" max="4347" width="7.5" customWidth="1"/>
    <col min="4348" max="4348" width="6.75" customWidth="1"/>
    <col min="4349" max="4349" width="8.375" customWidth="1"/>
    <col min="4350" max="4350" width="4.5" customWidth="1"/>
    <col min="4351" max="4351" width="8.25" customWidth="1"/>
    <col min="4352" max="4352" width="3.75" customWidth="1"/>
    <col min="4353" max="4353" width="7.75" customWidth="1"/>
    <col min="4354" max="4354" width="3.75" customWidth="1"/>
    <col min="4355" max="4355" width="7.75" customWidth="1"/>
    <col min="4356" max="4356" width="3.75" customWidth="1"/>
    <col min="4357" max="4357" width="7.75" customWidth="1"/>
    <col min="4358" max="4358" width="3.75" customWidth="1"/>
    <col min="4359" max="4359" width="6.25" customWidth="1"/>
    <col min="4361" max="4361" width="12.625" customWidth="1"/>
    <col min="4362" max="4362" width="19.125" customWidth="1"/>
    <col min="4363" max="4363" width="4.75" customWidth="1"/>
    <col min="4364" max="4364" width="9.875" customWidth="1"/>
    <col min="4365" max="4365" width="11.375" customWidth="1"/>
    <col min="4366" max="4366" width="5.875" customWidth="1"/>
    <col min="4369" max="4369" width="6.125" customWidth="1"/>
    <col min="4370" max="4370" width="19.5" customWidth="1"/>
    <col min="4602" max="4602" width="6.875" customWidth="1"/>
    <col min="4603" max="4603" width="7.5" customWidth="1"/>
    <col min="4604" max="4604" width="6.75" customWidth="1"/>
    <col min="4605" max="4605" width="8.375" customWidth="1"/>
    <col min="4606" max="4606" width="4.5" customWidth="1"/>
    <col min="4607" max="4607" width="8.25" customWidth="1"/>
    <col min="4608" max="4608" width="3.75" customWidth="1"/>
    <col min="4609" max="4609" width="7.75" customWidth="1"/>
    <col min="4610" max="4610" width="3.75" customWidth="1"/>
    <col min="4611" max="4611" width="7.75" customWidth="1"/>
    <col min="4612" max="4612" width="3.75" customWidth="1"/>
    <col min="4613" max="4613" width="7.75" customWidth="1"/>
    <col min="4614" max="4614" width="3.75" customWidth="1"/>
    <col min="4615" max="4615" width="6.25" customWidth="1"/>
    <col min="4617" max="4617" width="12.625" customWidth="1"/>
    <col min="4618" max="4618" width="19.125" customWidth="1"/>
    <col min="4619" max="4619" width="4.75" customWidth="1"/>
    <col min="4620" max="4620" width="9.875" customWidth="1"/>
    <col min="4621" max="4621" width="11.375" customWidth="1"/>
    <col min="4622" max="4622" width="5.875" customWidth="1"/>
    <col min="4625" max="4625" width="6.125" customWidth="1"/>
    <col min="4626" max="4626" width="19.5" customWidth="1"/>
    <col min="4858" max="4858" width="6.875" customWidth="1"/>
    <col min="4859" max="4859" width="7.5" customWidth="1"/>
    <col min="4860" max="4860" width="6.75" customWidth="1"/>
    <col min="4861" max="4861" width="8.375" customWidth="1"/>
    <col min="4862" max="4862" width="4.5" customWidth="1"/>
    <col min="4863" max="4863" width="8.25" customWidth="1"/>
    <col min="4864" max="4864" width="3.75" customWidth="1"/>
    <col min="4865" max="4865" width="7.75" customWidth="1"/>
    <col min="4866" max="4866" width="3.75" customWidth="1"/>
    <col min="4867" max="4867" width="7.75" customWidth="1"/>
    <col min="4868" max="4868" width="3.75" customWidth="1"/>
    <col min="4869" max="4869" width="7.75" customWidth="1"/>
    <col min="4870" max="4870" width="3.75" customWidth="1"/>
    <col min="4871" max="4871" width="6.25" customWidth="1"/>
    <col min="4873" max="4873" width="12.625" customWidth="1"/>
    <col min="4874" max="4874" width="19.125" customWidth="1"/>
    <col min="4875" max="4875" width="4.75" customWidth="1"/>
    <col min="4876" max="4876" width="9.875" customWidth="1"/>
    <col min="4877" max="4877" width="11.375" customWidth="1"/>
    <col min="4878" max="4878" width="5.875" customWidth="1"/>
    <col min="4881" max="4881" width="6.125" customWidth="1"/>
    <col min="4882" max="4882" width="19.5" customWidth="1"/>
    <col min="5114" max="5114" width="6.875" customWidth="1"/>
    <col min="5115" max="5115" width="7.5" customWidth="1"/>
    <col min="5116" max="5116" width="6.75" customWidth="1"/>
    <col min="5117" max="5117" width="8.375" customWidth="1"/>
    <col min="5118" max="5118" width="4.5" customWidth="1"/>
    <col min="5119" max="5119" width="8.25" customWidth="1"/>
    <col min="5120" max="5120" width="3.75" customWidth="1"/>
    <col min="5121" max="5121" width="7.75" customWidth="1"/>
    <col min="5122" max="5122" width="3.75" customWidth="1"/>
    <col min="5123" max="5123" width="7.75" customWidth="1"/>
    <col min="5124" max="5124" width="3.75" customWidth="1"/>
    <col min="5125" max="5125" width="7.75" customWidth="1"/>
    <col min="5126" max="5126" width="3.75" customWidth="1"/>
    <col min="5127" max="5127" width="6.25" customWidth="1"/>
    <col min="5129" max="5129" width="12.625" customWidth="1"/>
    <col min="5130" max="5130" width="19.125" customWidth="1"/>
    <col min="5131" max="5131" width="4.75" customWidth="1"/>
    <col min="5132" max="5132" width="9.875" customWidth="1"/>
    <col min="5133" max="5133" width="11.375" customWidth="1"/>
    <col min="5134" max="5134" width="5.875" customWidth="1"/>
    <col min="5137" max="5137" width="6.125" customWidth="1"/>
    <col min="5138" max="5138" width="19.5" customWidth="1"/>
    <col min="5370" max="5370" width="6.875" customWidth="1"/>
    <col min="5371" max="5371" width="7.5" customWidth="1"/>
    <col min="5372" max="5372" width="6.75" customWidth="1"/>
    <col min="5373" max="5373" width="8.375" customWidth="1"/>
    <col min="5374" max="5374" width="4.5" customWidth="1"/>
    <col min="5375" max="5375" width="8.25" customWidth="1"/>
    <col min="5376" max="5376" width="3.75" customWidth="1"/>
    <col min="5377" max="5377" width="7.75" customWidth="1"/>
    <col min="5378" max="5378" width="3.75" customWidth="1"/>
    <col min="5379" max="5379" width="7.75" customWidth="1"/>
    <col min="5380" max="5380" width="3.75" customWidth="1"/>
    <col min="5381" max="5381" width="7.75" customWidth="1"/>
    <col min="5382" max="5382" width="3.75" customWidth="1"/>
    <col min="5383" max="5383" width="6.25" customWidth="1"/>
    <col min="5385" max="5385" width="12.625" customWidth="1"/>
    <col min="5386" max="5386" width="19.125" customWidth="1"/>
    <col min="5387" max="5387" width="4.75" customWidth="1"/>
    <col min="5388" max="5388" width="9.875" customWidth="1"/>
    <col min="5389" max="5389" width="11.375" customWidth="1"/>
    <col min="5390" max="5390" width="5.875" customWidth="1"/>
    <col min="5393" max="5393" width="6.125" customWidth="1"/>
    <col min="5394" max="5394" width="19.5" customWidth="1"/>
    <col min="5626" max="5626" width="6.875" customWidth="1"/>
    <col min="5627" max="5627" width="7.5" customWidth="1"/>
    <col min="5628" max="5628" width="6.75" customWidth="1"/>
    <col min="5629" max="5629" width="8.375" customWidth="1"/>
    <col min="5630" max="5630" width="4.5" customWidth="1"/>
    <col min="5631" max="5631" width="8.25" customWidth="1"/>
    <col min="5632" max="5632" width="3.75" customWidth="1"/>
    <col min="5633" max="5633" width="7.75" customWidth="1"/>
    <col min="5634" max="5634" width="3.75" customWidth="1"/>
    <col min="5635" max="5635" width="7.75" customWidth="1"/>
    <col min="5636" max="5636" width="3.75" customWidth="1"/>
    <col min="5637" max="5637" width="7.75" customWidth="1"/>
    <col min="5638" max="5638" width="3.75" customWidth="1"/>
    <col min="5639" max="5639" width="6.25" customWidth="1"/>
    <col min="5641" max="5641" width="12.625" customWidth="1"/>
    <col min="5642" max="5642" width="19.125" customWidth="1"/>
    <col min="5643" max="5643" width="4.75" customWidth="1"/>
    <col min="5644" max="5644" width="9.875" customWidth="1"/>
    <col min="5645" max="5645" width="11.375" customWidth="1"/>
    <col min="5646" max="5646" width="5.875" customWidth="1"/>
    <col min="5649" max="5649" width="6.125" customWidth="1"/>
    <col min="5650" max="5650" width="19.5" customWidth="1"/>
    <col min="5882" max="5882" width="6.875" customWidth="1"/>
    <col min="5883" max="5883" width="7.5" customWidth="1"/>
    <col min="5884" max="5884" width="6.75" customWidth="1"/>
    <col min="5885" max="5885" width="8.375" customWidth="1"/>
    <col min="5886" max="5886" width="4.5" customWidth="1"/>
    <col min="5887" max="5887" width="8.25" customWidth="1"/>
    <col min="5888" max="5888" width="3.75" customWidth="1"/>
    <col min="5889" max="5889" width="7.75" customWidth="1"/>
    <col min="5890" max="5890" width="3.75" customWidth="1"/>
    <col min="5891" max="5891" width="7.75" customWidth="1"/>
    <col min="5892" max="5892" width="3.75" customWidth="1"/>
    <col min="5893" max="5893" width="7.75" customWidth="1"/>
    <col min="5894" max="5894" width="3.75" customWidth="1"/>
    <col min="5895" max="5895" width="6.25" customWidth="1"/>
    <col min="5897" max="5897" width="12.625" customWidth="1"/>
    <col min="5898" max="5898" width="19.125" customWidth="1"/>
    <col min="5899" max="5899" width="4.75" customWidth="1"/>
    <col min="5900" max="5900" width="9.875" customWidth="1"/>
    <col min="5901" max="5901" width="11.375" customWidth="1"/>
    <col min="5902" max="5902" width="5.875" customWidth="1"/>
    <col min="5905" max="5905" width="6.125" customWidth="1"/>
    <col min="5906" max="5906" width="19.5" customWidth="1"/>
    <col min="6138" max="6138" width="6.875" customWidth="1"/>
    <col min="6139" max="6139" width="7.5" customWidth="1"/>
    <col min="6140" max="6140" width="6.75" customWidth="1"/>
    <col min="6141" max="6141" width="8.375" customWidth="1"/>
    <col min="6142" max="6142" width="4.5" customWidth="1"/>
    <col min="6143" max="6143" width="8.25" customWidth="1"/>
    <col min="6144" max="6144" width="3.75" customWidth="1"/>
    <col min="6145" max="6145" width="7.75" customWidth="1"/>
    <col min="6146" max="6146" width="3.75" customWidth="1"/>
    <col min="6147" max="6147" width="7.75" customWidth="1"/>
    <col min="6148" max="6148" width="3.75" customWidth="1"/>
    <col min="6149" max="6149" width="7.75" customWidth="1"/>
    <col min="6150" max="6150" width="3.75" customWidth="1"/>
    <col min="6151" max="6151" width="6.25" customWidth="1"/>
    <col min="6153" max="6153" width="12.625" customWidth="1"/>
    <col min="6154" max="6154" width="19.125" customWidth="1"/>
    <col min="6155" max="6155" width="4.75" customWidth="1"/>
    <col min="6156" max="6156" width="9.875" customWidth="1"/>
    <col min="6157" max="6157" width="11.375" customWidth="1"/>
    <col min="6158" max="6158" width="5.875" customWidth="1"/>
    <col min="6161" max="6161" width="6.125" customWidth="1"/>
    <col min="6162" max="6162" width="19.5" customWidth="1"/>
    <col min="6394" max="6394" width="6.875" customWidth="1"/>
    <col min="6395" max="6395" width="7.5" customWidth="1"/>
    <col min="6396" max="6396" width="6.75" customWidth="1"/>
    <col min="6397" max="6397" width="8.375" customWidth="1"/>
    <col min="6398" max="6398" width="4.5" customWidth="1"/>
    <col min="6399" max="6399" width="8.25" customWidth="1"/>
    <col min="6400" max="6400" width="3.75" customWidth="1"/>
    <col min="6401" max="6401" width="7.75" customWidth="1"/>
    <col min="6402" max="6402" width="3.75" customWidth="1"/>
    <col min="6403" max="6403" width="7.75" customWidth="1"/>
    <col min="6404" max="6404" width="3.75" customWidth="1"/>
    <col min="6405" max="6405" width="7.75" customWidth="1"/>
    <col min="6406" max="6406" width="3.75" customWidth="1"/>
    <col min="6407" max="6407" width="6.25" customWidth="1"/>
    <col min="6409" max="6409" width="12.625" customWidth="1"/>
    <col min="6410" max="6410" width="19.125" customWidth="1"/>
    <col min="6411" max="6411" width="4.75" customWidth="1"/>
    <col min="6412" max="6412" width="9.875" customWidth="1"/>
    <col min="6413" max="6413" width="11.375" customWidth="1"/>
    <col min="6414" max="6414" width="5.875" customWidth="1"/>
    <col min="6417" max="6417" width="6.125" customWidth="1"/>
    <col min="6418" max="6418" width="19.5" customWidth="1"/>
    <col min="6650" max="6650" width="6.875" customWidth="1"/>
    <col min="6651" max="6651" width="7.5" customWidth="1"/>
    <col min="6652" max="6652" width="6.75" customWidth="1"/>
    <col min="6653" max="6653" width="8.375" customWidth="1"/>
    <col min="6654" max="6654" width="4.5" customWidth="1"/>
    <col min="6655" max="6655" width="8.25" customWidth="1"/>
    <col min="6656" max="6656" width="3.75" customWidth="1"/>
    <col min="6657" max="6657" width="7.75" customWidth="1"/>
    <col min="6658" max="6658" width="3.75" customWidth="1"/>
    <col min="6659" max="6659" width="7.75" customWidth="1"/>
    <col min="6660" max="6660" width="3.75" customWidth="1"/>
    <col min="6661" max="6661" width="7.75" customWidth="1"/>
    <col min="6662" max="6662" width="3.75" customWidth="1"/>
    <col min="6663" max="6663" width="6.25" customWidth="1"/>
    <col min="6665" max="6665" width="12.625" customWidth="1"/>
    <col min="6666" max="6666" width="19.125" customWidth="1"/>
    <col min="6667" max="6667" width="4.75" customWidth="1"/>
    <col min="6668" max="6668" width="9.875" customWidth="1"/>
    <col min="6669" max="6669" width="11.375" customWidth="1"/>
    <col min="6670" max="6670" width="5.875" customWidth="1"/>
    <col min="6673" max="6673" width="6.125" customWidth="1"/>
    <col min="6674" max="6674" width="19.5" customWidth="1"/>
    <col min="6906" max="6906" width="6.875" customWidth="1"/>
    <col min="6907" max="6907" width="7.5" customWidth="1"/>
    <col min="6908" max="6908" width="6.75" customWidth="1"/>
    <col min="6909" max="6909" width="8.375" customWidth="1"/>
    <col min="6910" max="6910" width="4.5" customWidth="1"/>
    <col min="6911" max="6911" width="8.25" customWidth="1"/>
    <col min="6912" max="6912" width="3.75" customWidth="1"/>
    <col min="6913" max="6913" width="7.75" customWidth="1"/>
    <col min="6914" max="6914" width="3.75" customWidth="1"/>
    <col min="6915" max="6915" width="7.75" customWidth="1"/>
    <col min="6916" max="6916" width="3.75" customWidth="1"/>
    <col min="6917" max="6917" width="7.75" customWidth="1"/>
    <col min="6918" max="6918" width="3.75" customWidth="1"/>
    <col min="6919" max="6919" width="6.25" customWidth="1"/>
    <col min="6921" max="6921" width="12.625" customWidth="1"/>
    <col min="6922" max="6922" width="19.125" customWidth="1"/>
    <col min="6923" max="6923" width="4.75" customWidth="1"/>
    <col min="6924" max="6924" width="9.875" customWidth="1"/>
    <col min="6925" max="6925" width="11.375" customWidth="1"/>
    <col min="6926" max="6926" width="5.875" customWidth="1"/>
    <col min="6929" max="6929" width="6.125" customWidth="1"/>
    <col min="6930" max="6930" width="19.5" customWidth="1"/>
    <col min="7162" max="7162" width="6.875" customWidth="1"/>
    <col min="7163" max="7163" width="7.5" customWidth="1"/>
    <col min="7164" max="7164" width="6.75" customWidth="1"/>
    <col min="7165" max="7165" width="8.375" customWidth="1"/>
    <col min="7166" max="7166" width="4.5" customWidth="1"/>
    <col min="7167" max="7167" width="8.25" customWidth="1"/>
    <col min="7168" max="7168" width="3.75" customWidth="1"/>
    <col min="7169" max="7169" width="7.75" customWidth="1"/>
    <col min="7170" max="7170" width="3.75" customWidth="1"/>
    <col min="7171" max="7171" width="7.75" customWidth="1"/>
    <col min="7172" max="7172" width="3.75" customWidth="1"/>
    <col min="7173" max="7173" width="7.75" customWidth="1"/>
    <col min="7174" max="7174" width="3.75" customWidth="1"/>
    <col min="7175" max="7175" width="6.25" customWidth="1"/>
    <col min="7177" max="7177" width="12.625" customWidth="1"/>
    <col min="7178" max="7178" width="19.125" customWidth="1"/>
    <col min="7179" max="7179" width="4.75" customWidth="1"/>
    <col min="7180" max="7180" width="9.875" customWidth="1"/>
    <col min="7181" max="7181" width="11.375" customWidth="1"/>
    <col min="7182" max="7182" width="5.875" customWidth="1"/>
    <col min="7185" max="7185" width="6.125" customWidth="1"/>
    <col min="7186" max="7186" width="19.5" customWidth="1"/>
    <col min="7418" max="7418" width="6.875" customWidth="1"/>
    <col min="7419" max="7419" width="7.5" customWidth="1"/>
    <col min="7420" max="7420" width="6.75" customWidth="1"/>
    <col min="7421" max="7421" width="8.375" customWidth="1"/>
    <col min="7422" max="7422" width="4.5" customWidth="1"/>
    <col min="7423" max="7423" width="8.25" customWidth="1"/>
    <col min="7424" max="7424" width="3.75" customWidth="1"/>
    <col min="7425" max="7425" width="7.75" customWidth="1"/>
    <col min="7426" max="7426" width="3.75" customWidth="1"/>
    <col min="7427" max="7427" width="7.75" customWidth="1"/>
    <col min="7428" max="7428" width="3.75" customWidth="1"/>
    <col min="7429" max="7429" width="7.75" customWidth="1"/>
    <col min="7430" max="7430" width="3.75" customWidth="1"/>
    <col min="7431" max="7431" width="6.25" customWidth="1"/>
    <col min="7433" max="7433" width="12.625" customWidth="1"/>
    <col min="7434" max="7434" width="19.125" customWidth="1"/>
    <col min="7435" max="7435" width="4.75" customWidth="1"/>
    <col min="7436" max="7436" width="9.875" customWidth="1"/>
    <col min="7437" max="7437" width="11.375" customWidth="1"/>
    <col min="7438" max="7438" width="5.875" customWidth="1"/>
    <col min="7441" max="7441" width="6.125" customWidth="1"/>
    <col min="7442" max="7442" width="19.5" customWidth="1"/>
    <col min="7674" max="7674" width="6.875" customWidth="1"/>
    <col min="7675" max="7675" width="7.5" customWidth="1"/>
    <col min="7676" max="7676" width="6.75" customWidth="1"/>
    <col min="7677" max="7677" width="8.375" customWidth="1"/>
    <col min="7678" max="7678" width="4.5" customWidth="1"/>
    <col min="7679" max="7679" width="8.25" customWidth="1"/>
    <col min="7680" max="7680" width="3.75" customWidth="1"/>
    <col min="7681" max="7681" width="7.75" customWidth="1"/>
    <col min="7682" max="7682" width="3.75" customWidth="1"/>
    <col min="7683" max="7683" width="7.75" customWidth="1"/>
    <col min="7684" max="7684" width="3.75" customWidth="1"/>
    <col min="7685" max="7685" width="7.75" customWidth="1"/>
    <col min="7686" max="7686" width="3.75" customWidth="1"/>
    <col min="7687" max="7687" width="6.25" customWidth="1"/>
    <col min="7689" max="7689" width="12.625" customWidth="1"/>
    <col min="7690" max="7690" width="19.125" customWidth="1"/>
    <col min="7691" max="7691" width="4.75" customWidth="1"/>
    <col min="7692" max="7692" width="9.875" customWidth="1"/>
    <col min="7693" max="7693" width="11.375" customWidth="1"/>
    <col min="7694" max="7694" width="5.875" customWidth="1"/>
    <col min="7697" max="7697" width="6.125" customWidth="1"/>
    <col min="7698" max="7698" width="19.5" customWidth="1"/>
    <col min="7930" max="7930" width="6.875" customWidth="1"/>
    <col min="7931" max="7931" width="7.5" customWidth="1"/>
    <col min="7932" max="7932" width="6.75" customWidth="1"/>
    <col min="7933" max="7933" width="8.375" customWidth="1"/>
    <col min="7934" max="7934" width="4.5" customWidth="1"/>
    <col min="7935" max="7935" width="8.25" customWidth="1"/>
    <col min="7936" max="7936" width="3.75" customWidth="1"/>
    <col min="7937" max="7937" width="7.75" customWidth="1"/>
    <col min="7938" max="7938" width="3.75" customWidth="1"/>
    <col min="7939" max="7939" width="7.75" customWidth="1"/>
    <col min="7940" max="7940" width="3.75" customWidth="1"/>
    <col min="7941" max="7941" width="7.75" customWidth="1"/>
    <col min="7942" max="7942" width="3.75" customWidth="1"/>
    <col min="7943" max="7943" width="6.25" customWidth="1"/>
    <col min="7945" max="7945" width="12.625" customWidth="1"/>
    <col min="7946" max="7946" width="19.125" customWidth="1"/>
    <col min="7947" max="7947" width="4.75" customWidth="1"/>
    <col min="7948" max="7948" width="9.875" customWidth="1"/>
    <col min="7949" max="7949" width="11.375" customWidth="1"/>
    <col min="7950" max="7950" width="5.875" customWidth="1"/>
    <col min="7953" max="7953" width="6.125" customWidth="1"/>
    <col min="7954" max="7954" width="19.5" customWidth="1"/>
    <col min="8186" max="8186" width="6.875" customWidth="1"/>
    <col min="8187" max="8187" width="7.5" customWidth="1"/>
    <col min="8188" max="8188" width="6.75" customWidth="1"/>
    <col min="8189" max="8189" width="8.375" customWidth="1"/>
    <col min="8190" max="8190" width="4.5" customWidth="1"/>
    <col min="8191" max="8191" width="8.25" customWidth="1"/>
    <col min="8192" max="8192" width="3.75" customWidth="1"/>
    <col min="8193" max="8193" width="7.75" customWidth="1"/>
    <col min="8194" max="8194" width="3.75" customWidth="1"/>
    <col min="8195" max="8195" width="7.75" customWidth="1"/>
    <col min="8196" max="8196" width="3.75" customWidth="1"/>
    <col min="8197" max="8197" width="7.75" customWidth="1"/>
    <col min="8198" max="8198" width="3.75" customWidth="1"/>
    <col min="8199" max="8199" width="6.25" customWidth="1"/>
    <col min="8201" max="8201" width="12.625" customWidth="1"/>
    <col min="8202" max="8202" width="19.125" customWidth="1"/>
    <col min="8203" max="8203" width="4.75" customWidth="1"/>
    <col min="8204" max="8204" width="9.875" customWidth="1"/>
    <col min="8205" max="8205" width="11.375" customWidth="1"/>
    <col min="8206" max="8206" width="5.875" customWidth="1"/>
    <col min="8209" max="8209" width="6.125" customWidth="1"/>
    <col min="8210" max="8210" width="19.5" customWidth="1"/>
    <col min="8442" max="8442" width="6.875" customWidth="1"/>
    <col min="8443" max="8443" width="7.5" customWidth="1"/>
    <col min="8444" max="8444" width="6.75" customWidth="1"/>
    <col min="8445" max="8445" width="8.375" customWidth="1"/>
    <col min="8446" max="8446" width="4.5" customWidth="1"/>
    <col min="8447" max="8447" width="8.25" customWidth="1"/>
    <col min="8448" max="8448" width="3.75" customWidth="1"/>
    <col min="8449" max="8449" width="7.75" customWidth="1"/>
    <col min="8450" max="8450" width="3.75" customWidth="1"/>
    <col min="8451" max="8451" width="7.75" customWidth="1"/>
    <col min="8452" max="8452" width="3.75" customWidth="1"/>
    <col min="8453" max="8453" width="7.75" customWidth="1"/>
    <col min="8454" max="8454" width="3.75" customWidth="1"/>
    <col min="8455" max="8455" width="6.25" customWidth="1"/>
    <col min="8457" max="8457" width="12.625" customWidth="1"/>
    <col min="8458" max="8458" width="19.125" customWidth="1"/>
    <col min="8459" max="8459" width="4.75" customWidth="1"/>
    <col min="8460" max="8460" width="9.875" customWidth="1"/>
    <col min="8461" max="8461" width="11.375" customWidth="1"/>
    <col min="8462" max="8462" width="5.875" customWidth="1"/>
    <col min="8465" max="8465" width="6.125" customWidth="1"/>
    <col min="8466" max="8466" width="19.5" customWidth="1"/>
    <col min="8698" max="8698" width="6.875" customWidth="1"/>
    <col min="8699" max="8699" width="7.5" customWidth="1"/>
    <col min="8700" max="8700" width="6.75" customWidth="1"/>
    <col min="8701" max="8701" width="8.375" customWidth="1"/>
    <col min="8702" max="8702" width="4.5" customWidth="1"/>
    <col min="8703" max="8703" width="8.25" customWidth="1"/>
    <col min="8704" max="8704" width="3.75" customWidth="1"/>
    <col min="8705" max="8705" width="7.75" customWidth="1"/>
    <col min="8706" max="8706" width="3.75" customWidth="1"/>
    <col min="8707" max="8707" width="7.75" customWidth="1"/>
    <col min="8708" max="8708" width="3.75" customWidth="1"/>
    <col min="8709" max="8709" width="7.75" customWidth="1"/>
    <col min="8710" max="8710" width="3.75" customWidth="1"/>
    <col min="8711" max="8711" width="6.25" customWidth="1"/>
    <col min="8713" max="8713" width="12.625" customWidth="1"/>
    <col min="8714" max="8714" width="19.125" customWidth="1"/>
    <col min="8715" max="8715" width="4.75" customWidth="1"/>
    <col min="8716" max="8716" width="9.875" customWidth="1"/>
    <col min="8717" max="8717" width="11.375" customWidth="1"/>
    <col min="8718" max="8718" width="5.875" customWidth="1"/>
    <col min="8721" max="8721" width="6.125" customWidth="1"/>
    <col min="8722" max="8722" width="19.5" customWidth="1"/>
    <col min="8954" max="8954" width="6.875" customWidth="1"/>
    <col min="8955" max="8955" width="7.5" customWidth="1"/>
    <col min="8956" max="8956" width="6.75" customWidth="1"/>
    <col min="8957" max="8957" width="8.375" customWidth="1"/>
    <col min="8958" max="8958" width="4.5" customWidth="1"/>
    <col min="8959" max="8959" width="8.25" customWidth="1"/>
    <col min="8960" max="8960" width="3.75" customWidth="1"/>
    <col min="8961" max="8961" width="7.75" customWidth="1"/>
    <col min="8962" max="8962" width="3.75" customWidth="1"/>
    <col min="8963" max="8963" width="7.75" customWidth="1"/>
    <col min="8964" max="8964" width="3.75" customWidth="1"/>
    <col min="8965" max="8965" width="7.75" customWidth="1"/>
    <col min="8966" max="8966" width="3.75" customWidth="1"/>
    <col min="8967" max="8967" width="6.25" customWidth="1"/>
    <col min="8969" max="8969" width="12.625" customWidth="1"/>
    <col min="8970" max="8970" width="19.125" customWidth="1"/>
    <col min="8971" max="8971" width="4.75" customWidth="1"/>
    <col min="8972" max="8972" width="9.875" customWidth="1"/>
    <col min="8973" max="8973" width="11.375" customWidth="1"/>
    <col min="8974" max="8974" width="5.875" customWidth="1"/>
    <col min="8977" max="8977" width="6.125" customWidth="1"/>
    <col min="8978" max="8978" width="19.5" customWidth="1"/>
    <col min="9210" max="9210" width="6.875" customWidth="1"/>
    <col min="9211" max="9211" width="7.5" customWidth="1"/>
    <col min="9212" max="9212" width="6.75" customWidth="1"/>
    <col min="9213" max="9213" width="8.375" customWidth="1"/>
    <col min="9214" max="9214" width="4.5" customWidth="1"/>
    <col min="9215" max="9215" width="8.25" customWidth="1"/>
    <col min="9216" max="9216" width="3.75" customWidth="1"/>
    <col min="9217" max="9217" width="7.75" customWidth="1"/>
    <col min="9218" max="9218" width="3.75" customWidth="1"/>
    <col min="9219" max="9219" width="7.75" customWidth="1"/>
    <col min="9220" max="9220" width="3.75" customWidth="1"/>
    <col min="9221" max="9221" width="7.75" customWidth="1"/>
    <col min="9222" max="9222" width="3.75" customWidth="1"/>
    <col min="9223" max="9223" width="6.25" customWidth="1"/>
    <col min="9225" max="9225" width="12.625" customWidth="1"/>
    <col min="9226" max="9226" width="19.125" customWidth="1"/>
    <col min="9227" max="9227" width="4.75" customWidth="1"/>
    <col min="9228" max="9228" width="9.875" customWidth="1"/>
    <col min="9229" max="9229" width="11.375" customWidth="1"/>
    <col min="9230" max="9230" width="5.875" customWidth="1"/>
    <col min="9233" max="9233" width="6.125" customWidth="1"/>
    <col min="9234" max="9234" width="19.5" customWidth="1"/>
    <col min="9466" max="9466" width="6.875" customWidth="1"/>
    <col min="9467" max="9467" width="7.5" customWidth="1"/>
    <col min="9468" max="9468" width="6.75" customWidth="1"/>
    <col min="9469" max="9469" width="8.375" customWidth="1"/>
    <col min="9470" max="9470" width="4.5" customWidth="1"/>
    <col min="9471" max="9471" width="8.25" customWidth="1"/>
    <col min="9472" max="9472" width="3.75" customWidth="1"/>
    <col min="9473" max="9473" width="7.75" customWidth="1"/>
    <col min="9474" max="9474" width="3.75" customWidth="1"/>
    <col min="9475" max="9475" width="7.75" customWidth="1"/>
    <col min="9476" max="9476" width="3.75" customWidth="1"/>
    <col min="9477" max="9477" width="7.75" customWidth="1"/>
    <col min="9478" max="9478" width="3.75" customWidth="1"/>
    <col min="9479" max="9479" width="6.25" customWidth="1"/>
    <col min="9481" max="9481" width="12.625" customWidth="1"/>
    <col min="9482" max="9482" width="19.125" customWidth="1"/>
    <col min="9483" max="9483" width="4.75" customWidth="1"/>
    <col min="9484" max="9484" width="9.875" customWidth="1"/>
    <col min="9485" max="9485" width="11.375" customWidth="1"/>
    <col min="9486" max="9486" width="5.875" customWidth="1"/>
    <col min="9489" max="9489" width="6.125" customWidth="1"/>
    <col min="9490" max="9490" width="19.5" customWidth="1"/>
    <col min="9722" max="9722" width="6.875" customWidth="1"/>
    <col min="9723" max="9723" width="7.5" customWidth="1"/>
    <col min="9724" max="9724" width="6.75" customWidth="1"/>
    <col min="9725" max="9725" width="8.375" customWidth="1"/>
    <col min="9726" max="9726" width="4.5" customWidth="1"/>
    <col min="9727" max="9727" width="8.25" customWidth="1"/>
    <col min="9728" max="9728" width="3.75" customWidth="1"/>
    <col min="9729" max="9729" width="7.75" customWidth="1"/>
    <col min="9730" max="9730" width="3.75" customWidth="1"/>
    <col min="9731" max="9731" width="7.75" customWidth="1"/>
    <col min="9732" max="9732" width="3.75" customWidth="1"/>
    <col min="9733" max="9733" width="7.75" customWidth="1"/>
    <col min="9734" max="9734" width="3.75" customWidth="1"/>
    <col min="9735" max="9735" width="6.25" customWidth="1"/>
    <col min="9737" max="9737" width="12.625" customWidth="1"/>
    <col min="9738" max="9738" width="19.125" customWidth="1"/>
    <col min="9739" max="9739" width="4.75" customWidth="1"/>
    <col min="9740" max="9740" width="9.875" customWidth="1"/>
    <col min="9741" max="9741" width="11.375" customWidth="1"/>
    <col min="9742" max="9742" width="5.875" customWidth="1"/>
    <col min="9745" max="9745" width="6.125" customWidth="1"/>
    <col min="9746" max="9746" width="19.5" customWidth="1"/>
    <col min="9978" max="9978" width="6.875" customWidth="1"/>
    <col min="9979" max="9979" width="7.5" customWidth="1"/>
    <col min="9980" max="9980" width="6.75" customWidth="1"/>
    <col min="9981" max="9981" width="8.375" customWidth="1"/>
    <col min="9982" max="9982" width="4.5" customWidth="1"/>
    <col min="9983" max="9983" width="8.25" customWidth="1"/>
    <col min="9984" max="9984" width="3.75" customWidth="1"/>
    <col min="9985" max="9985" width="7.75" customWidth="1"/>
    <col min="9986" max="9986" width="3.75" customWidth="1"/>
    <col min="9987" max="9987" width="7.75" customWidth="1"/>
    <col min="9988" max="9988" width="3.75" customWidth="1"/>
    <col min="9989" max="9989" width="7.75" customWidth="1"/>
    <col min="9990" max="9990" width="3.75" customWidth="1"/>
    <col min="9991" max="9991" width="6.25" customWidth="1"/>
    <col min="9993" max="9993" width="12.625" customWidth="1"/>
    <col min="9994" max="9994" width="19.125" customWidth="1"/>
    <col min="9995" max="9995" width="4.75" customWidth="1"/>
    <col min="9996" max="9996" width="9.875" customWidth="1"/>
    <col min="9997" max="9997" width="11.375" customWidth="1"/>
    <col min="9998" max="9998" width="5.875" customWidth="1"/>
    <col min="10001" max="10001" width="6.125" customWidth="1"/>
    <col min="10002" max="10002" width="19.5" customWidth="1"/>
    <col min="10234" max="10234" width="6.875" customWidth="1"/>
    <col min="10235" max="10235" width="7.5" customWidth="1"/>
    <col min="10236" max="10236" width="6.75" customWidth="1"/>
    <col min="10237" max="10237" width="8.375" customWidth="1"/>
    <col min="10238" max="10238" width="4.5" customWidth="1"/>
    <col min="10239" max="10239" width="8.25" customWidth="1"/>
    <col min="10240" max="10240" width="3.75" customWidth="1"/>
    <col min="10241" max="10241" width="7.75" customWidth="1"/>
    <col min="10242" max="10242" width="3.75" customWidth="1"/>
    <col min="10243" max="10243" width="7.75" customWidth="1"/>
    <col min="10244" max="10244" width="3.75" customWidth="1"/>
    <col min="10245" max="10245" width="7.75" customWidth="1"/>
    <col min="10246" max="10246" width="3.75" customWidth="1"/>
    <col min="10247" max="10247" width="6.25" customWidth="1"/>
    <col min="10249" max="10249" width="12.625" customWidth="1"/>
    <col min="10250" max="10250" width="19.125" customWidth="1"/>
    <col min="10251" max="10251" width="4.75" customWidth="1"/>
    <col min="10252" max="10252" width="9.875" customWidth="1"/>
    <col min="10253" max="10253" width="11.375" customWidth="1"/>
    <col min="10254" max="10254" width="5.875" customWidth="1"/>
    <col min="10257" max="10257" width="6.125" customWidth="1"/>
    <col min="10258" max="10258" width="19.5" customWidth="1"/>
    <col min="10490" max="10490" width="6.875" customWidth="1"/>
    <col min="10491" max="10491" width="7.5" customWidth="1"/>
    <col min="10492" max="10492" width="6.75" customWidth="1"/>
    <col min="10493" max="10493" width="8.375" customWidth="1"/>
    <col min="10494" max="10494" width="4.5" customWidth="1"/>
    <col min="10495" max="10495" width="8.25" customWidth="1"/>
    <col min="10496" max="10496" width="3.75" customWidth="1"/>
    <col min="10497" max="10497" width="7.75" customWidth="1"/>
    <col min="10498" max="10498" width="3.75" customWidth="1"/>
    <col min="10499" max="10499" width="7.75" customWidth="1"/>
    <col min="10500" max="10500" width="3.75" customWidth="1"/>
    <col min="10501" max="10501" width="7.75" customWidth="1"/>
    <col min="10502" max="10502" width="3.75" customWidth="1"/>
    <col min="10503" max="10503" width="6.25" customWidth="1"/>
    <col min="10505" max="10505" width="12.625" customWidth="1"/>
    <col min="10506" max="10506" width="19.125" customWidth="1"/>
    <col min="10507" max="10507" width="4.75" customWidth="1"/>
    <col min="10508" max="10508" width="9.875" customWidth="1"/>
    <col min="10509" max="10509" width="11.375" customWidth="1"/>
    <col min="10510" max="10510" width="5.875" customWidth="1"/>
    <col min="10513" max="10513" width="6.125" customWidth="1"/>
    <col min="10514" max="10514" width="19.5" customWidth="1"/>
    <col min="10746" max="10746" width="6.875" customWidth="1"/>
    <col min="10747" max="10747" width="7.5" customWidth="1"/>
    <col min="10748" max="10748" width="6.75" customWidth="1"/>
    <col min="10749" max="10749" width="8.375" customWidth="1"/>
    <col min="10750" max="10750" width="4.5" customWidth="1"/>
    <col min="10751" max="10751" width="8.25" customWidth="1"/>
    <col min="10752" max="10752" width="3.75" customWidth="1"/>
    <col min="10753" max="10753" width="7.75" customWidth="1"/>
    <col min="10754" max="10754" width="3.75" customWidth="1"/>
    <col min="10755" max="10755" width="7.75" customWidth="1"/>
    <col min="10756" max="10756" width="3.75" customWidth="1"/>
    <col min="10757" max="10757" width="7.75" customWidth="1"/>
    <col min="10758" max="10758" width="3.75" customWidth="1"/>
    <col min="10759" max="10759" width="6.25" customWidth="1"/>
    <col min="10761" max="10761" width="12.625" customWidth="1"/>
    <col min="10762" max="10762" width="19.125" customWidth="1"/>
    <col min="10763" max="10763" width="4.75" customWidth="1"/>
    <col min="10764" max="10764" width="9.875" customWidth="1"/>
    <col min="10765" max="10765" width="11.375" customWidth="1"/>
    <col min="10766" max="10766" width="5.875" customWidth="1"/>
    <col min="10769" max="10769" width="6.125" customWidth="1"/>
    <col min="10770" max="10770" width="19.5" customWidth="1"/>
    <col min="11002" max="11002" width="6.875" customWidth="1"/>
    <col min="11003" max="11003" width="7.5" customWidth="1"/>
    <col min="11004" max="11004" width="6.75" customWidth="1"/>
    <col min="11005" max="11005" width="8.375" customWidth="1"/>
    <col min="11006" max="11006" width="4.5" customWidth="1"/>
    <col min="11007" max="11007" width="8.25" customWidth="1"/>
    <col min="11008" max="11008" width="3.75" customWidth="1"/>
    <col min="11009" max="11009" width="7.75" customWidth="1"/>
    <col min="11010" max="11010" width="3.75" customWidth="1"/>
    <col min="11011" max="11011" width="7.75" customWidth="1"/>
    <col min="11012" max="11012" width="3.75" customWidth="1"/>
    <col min="11013" max="11013" width="7.75" customWidth="1"/>
    <col min="11014" max="11014" width="3.75" customWidth="1"/>
    <col min="11015" max="11015" width="6.25" customWidth="1"/>
    <col min="11017" max="11017" width="12.625" customWidth="1"/>
    <col min="11018" max="11018" width="19.125" customWidth="1"/>
    <col min="11019" max="11019" width="4.75" customWidth="1"/>
    <col min="11020" max="11020" width="9.875" customWidth="1"/>
    <col min="11021" max="11021" width="11.375" customWidth="1"/>
    <col min="11022" max="11022" width="5.875" customWidth="1"/>
    <col min="11025" max="11025" width="6.125" customWidth="1"/>
    <col min="11026" max="11026" width="19.5" customWidth="1"/>
    <col min="11258" max="11258" width="6.875" customWidth="1"/>
    <col min="11259" max="11259" width="7.5" customWidth="1"/>
    <col min="11260" max="11260" width="6.75" customWidth="1"/>
    <col min="11261" max="11261" width="8.375" customWidth="1"/>
    <col min="11262" max="11262" width="4.5" customWidth="1"/>
    <col min="11263" max="11263" width="8.25" customWidth="1"/>
    <col min="11264" max="11264" width="3.75" customWidth="1"/>
    <col min="11265" max="11265" width="7.75" customWidth="1"/>
    <col min="11266" max="11266" width="3.75" customWidth="1"/>
    <col min="11267" max="11267" width="7.75" customWidth="1"/>
    <col min="11268" max="11268" width="3.75" customWidth="1"/>
    <col min="11269" max="11269" width="7.75" customWidth="1"/>
    <col min="11270" max="11270" width="3.75" customWidth="1"/>
    <col min="11271" max="11271" width="6.25" customWidth="1"/>
    <col min="11273" max="11273" width="12.625" customWidth="1"/>
    <col min="11274" max="11274" width="19.125" customWidth="1"/>
    <col min="11275" max="11275" width="4.75" customWidth="1"/>
    <col min="11276" max="11276" width="9.875" customWidth="1"/>
    <col min="11277" max="11277" width="11.375" customWidth="1"/>
    <col min="11278" max="11278" width="5.875" customWidth="1"/>
    <col min="11281" max="11281" width="6.125" customWidth="1"/>
    <col min="11282" max="11282" width="19.5" customWidth="1"/>
    <col min="11514" max="11514" width="6.875" customWidth="1"/>
    <col min="11515" max="11515" width="7.5" customWidth="1"/>
    <col min="11516" max="11516" width="6.75" customWidth="1"/>
    <col min="11517" max="11517" width="8.375" customWidth="1"/>
    <col min="11518" max="11518" width="4.5" customWidth="1"/>
    <col min="11519" max="11519" width="8.25" customWidth="1"/>
    <col min="11520" max="11520" width="3.75" customWidth="1"/>
    <col min="11521" max="11521" width="7.75" customWidth="1"/>
    <col min="11522" max="11522" width="3.75" customWidth="1"/>
    <col min="11523" max="11523" width="7.75" customWidth="1"/>
    <col min="11524" max="11524" width="3.75" customWidth="1"/>
    <col min="11525" max="11525" width="7.75" customWidth="1"/>
    <col min="11526" max="11526" width="3.75" customWidth="1"/>
    <col min="11527" max="11527" width="6.25" customWidth="1"/>
    <col min="11529" max="11529" width="12.625" customWidth="1"/>
    <col min="11530" max="11530" width="19.125" customWidth="1"/>
    <col min="11531" max="11531" width="4.75" customWidth="1"/>
    <col min="11532" max="11532" width="9.875" customWidth="1"/>
    <col min="11533" max="11533" width="11.375" customWidth="1"/>
    <col min="11534" max="11534" width="5.875" customWidth="1"/>
    <col min="11537" max="11537" width="6.125" customWidth="1"/>
    <col min="11538" max="11538" width="19.5" customWidth="1"/>
    <col min="11770" max="11770" width="6.875" customWidth="1"/>
    <col min="11771" max="11771" width="7.5" customWidth="1"/>
    <col min="11772" max="11772" width="6.75" customWidth="1"/>
    <col min="11773" max="11773" width="8.375" customWidth="1"/>
    <col min="11774" max="11774" width="4.5" customWidth="1"/>
    <col min="11775" max="11775" width="8.25" customWidth="1"/>
    <col min="11776" max="11776" width="3.75" customWidth="1"/>
    <col min="11777" max="11777" width="7.75" customWidth="1"/>
    <col min="11778" max="11778" width="3.75" customWidth="1"/>
    <col min="11779" max="11779" width="7.75" customWidth="1"/>
    <col min="11780" max="11780" width="3.75" customWidth="1"/>
    <col min="11781" max="11781" width="7.75" customWidth="1"/>
    <col min="11782" max="11782" width="3.75" customWidth="1"/>
    <col min="11783" max="11783" width="6.25" customWidth="1"/>
    <col min="11785" max="11785" width="12.625" customWidth="1"/>
    <col min="11786" max="11786" width="19.125" customWidth="1"/>
    <col min="11787" max="11787" width="4.75" customWidth="1"/>
    <col min="11788" max="11788" width="9.875" customWidth="1"/>
    <col min="11789" max="11789" width="11.375" customWidth="1"/>
    <col min="11790" max="11790" width="5.875" customWidth="1"/>
    <col min="11793" max="11793" width="6.125" customWidth="1"/>
    <col min="11794" max="11794" width="19.5" customWidth="1"/>
    <col min="12026" max="12026" width="6.875" customWidth="1"/>
    <col min="12027" max="12027" width="7.5" customWidth="1"/>
    <col min="12028" max="12028" width="6.75" customWidth="1"/>
    <col min="12029" max="12029" width="8.375" customWidth="1"/>
    <col min="12030" max="12030" width="4.5" customWidth="1"/>
    <col min="12031" max="12031" width="8.25" customWidth="1"/>
    <col min="12032" max="12032" width="3.75" customWidth="1"/>
    <col min="12033" max="12033" width="7.75" customWidth="1"/>
    <col min="12034" max="12034" width="3.75" customWidth="1"/>
    <col min="12035" max="12035" width="7.75" customWidth="1"/>
    <col min="12036" max="12036" width="3.75" customWidth="1"/>
    <col min="12037" max="12037" width="7.75" customWidth="1"/>
    <col min="12038" max="12038" width="3.75" customWidth="1"/>
    <col min="12039" max="12039" width="6.25" customWidth="1"/>
    <col min="12041" max="12041" width="12.625" customWidth="1"/>
    <col min="12042" max="12042" width="19.125" customWidth="1"/>
    <col min="12043" max="12043" width="4.75" customWidth="1"/>
    <col min="12044" max="12044" width="9.875" customWidth="1"/>
    <col min="12045" max="12045" width="11.375" customWidth="1"/>
    <col min="12046" max="12046" width="5.875" customWidth="1"/>
    <col min="12049" max="12049" width="6.125" customWidth="1"/>
    <col min="12050" max="12050" width="19.5" customWidth="1"/>
    <col min="12282" max="12282" width="6.875" customWidth="1"/>
    <col min="12283" max="12283" width="7.5" customWidth="1"/>
    <col min="12284" max="12284" width="6.75" customWidth="1"/>
    <col min="12285" max="12285" width="8.375" customWidth="1"/>
    <col min="12286" max="12286" width="4.5" customWidth="1"/>
    <col min="12287" max="12287" width="8.25" customWidth="1"/>
    <col min="12288" max="12288" width="3.75" customWidth="1"/>
    <col min="12289" max="12289" width="7.75" customWidth="1"/>
    <col min="12290" max="12290" width="3.75" customWidth="1"/>
    <col min="12291" max="12291" width="7.75" customWidth="1"/>
    <col min="12292" max="12292" width="3.75" customWidth="1"/>
    <col min="12293" max="12293" width="7.75" customWidth="1"/>
    <col min="12294" max="12294" width="3.75" customWidth="1"/>
    <col min="12295" max="12295" width="6.25" customWidth="1"/>
    <col min="12297" max="12297" width="12.625" customWidth="1"/>
    <col min="12298" max="12298" width="19.125" customWidth="1"/>
    <col min="12299" max="12299" width="4.75" customWidth="1"/>
    <col min="12300" max="12300" width="9.875" customWidth="1"/>
    <col min="12301" max="12301" width="11.375" customWidth="1"/>
    <col min="12302" max="12302" width="5.875" customWidth="1"/>
    <col min="12305" max="12305" width="6.125" customWidth="1"/>
    <col min="12306" max="12306" width="19.5" customWidth="1"/>
    <col min="12538" max="12538" width="6.875" customWidth="1"/>
    <col min="12539" max="12539" width="7.5" customWidth="1"/>
    <col min="12540" max="12540" width="6.75" customWidth="1"/>
    <col min="12541" max="12541" width="8.375" customWidth="1"/>
    <col min="12542" max="12542" width="4.5" customWidth="1"/>
    <col min="12543" max="12543" width="8.25" customWidth="1"/>
    <col min="12544" max="12544" width="3.75" customWidth="1"/>
    <col min="12545" max="12545" width="7.75" customWidth="1"/>
    <col min="12546" max="12546" width="3.75" customWidth="1"/>
    <col min="12547" max="12547" width="7.75" customWidth="1"/>
    <col min="12548" max="12548" width="3.75" customWidth="1"/>
    <col min="12549" max="12549" width="7.75" customWidth="1"/>
    <col min="12550" max="12550" width="3.75" customWidth="1"/>
    <col min="12551" max="12551" width="6.25" customWidth="1"/>
    <col min="12553" max="12553" width="12.625" customWidth="1"/>
    <col min="12554" max="12554" width="19.125" customWidth="1"/>
    <col min="12555" max="12555" width="4.75" customWidth="1"/>
    <col min="12556" max="12556" width="9.875" customWidth="1"/>
    <col min="12557" max="12557" width="11.375" customWidth="1"/>
    <col min="12558" max="12558" width="5.875" customWidth="1"/>
    <col min="12561" max="12561" width="6.125" customWidth="1"/>
    <col min="12562" max="12562" width="19.5" customWidth="1"/>
    <col min="12794" max="12794" width="6.875" customWidth="1"/>
    <col min="12795" max="12795" width="7.5" customWidth="1"/>
    <col min="12796" max="12796" width="6.75" customWidth="1"/>
    <col min="12797" max="12797" width="8.375" customWidth="1"/>
    <col min="12798" max="12798" width="4.5" customWidth="1"/>
    <col min="12799" max="12799" width="8.25" customWidth="1"/>
    <col min="12800" max="12800" width="3.75" customWidth="1"/>
    <col min="12801" max="12801" width="7.75" customWidth="1"/>
    <col min="12802" max="12802" width="3.75" customWidth="1"/>
    <col min="12803" max="12803" width="7.75" customWidth="1"/>
    <col min="12804" max="12804" width="3.75" customWidth="1"/>
    <col min="12805" max="12805" width="7.75" customWidth="1"/>
    <col min="12806" max="12806" width="3.75" customWidth="1"/>
    <col min="12807" max="12807" width="6.25" customWidth="1"/>
    <col min="12809" max="12809" width="12.625" customWidth="1"/>
    <col min="12810" max="12810" width="19.125" customWidth="1"/>
    <col min="12811" max="12811" width="4.75" customWidth="1"/>
    <col min="12812" max="12812" width="9.875" customWidth="1"/>
    <col min="12813" max="12813" width="11.375" customWidth="1"/>
    <col min="12814" max="12814" width="5.875" customWidth="1"/>
    <col min="12817" max="12817" width="6.125" customWidth="1"/>
    <col min="12818" max="12818" width="19.5" customWidth="1"/>
    <col min="13050" max="13050" width="6.875" customWidth="1"/>
    <col min="13051" max="13051" width="7.5" customWidth="1"/>
    <col min="13052" max="13052" width="6.75" customWidth="1"/>
    <col min="13053" max="13053" width="8.375" customWidth="1"/>
    <col min="13054" max="13054" width="4.5" customWidth="1"/>
    <col min="13055" max="13055" width="8.25" customWidth="1"/>
    <col min="13056" max="13056" width="3.75" customWidth="1"/>
    <col min="13057" max="13057" width="7.75" customWidth="1"/>
    <col min="13058" max="13058" width="3.75" customWidth="1"/>
    <col min="13059" max="13059" width="7.75" customWidth="1"/>
    <col min="13060" max="13060" width="3.75" customWidth="1"/>
    <col min="13061" max="13061" width="7.75" customWidth="1"/>
    <col min="13062" max="13062" width="3.75" customWidth="1"/>
    <col min="13063" max="13063" width="6.25" customWidth="1"/>
    <col min="13065" max="13065" width="12.625" customWidth="1"/>
    <col min="13066" max="13066" width="19.125" customWidth="1"/>
    <col min="13067" max="13067" width="4.75" customWidth="1"/>
    <col min="13068" max="13068" width="9.875" customWidth="1"/>
    <col min="13069" max="13069" width="11.375" customWidth="1"/>
    <col min="13070" max="13070" width="5.875" customWidth="1"/>
    <col min="13073" max="13073" width="6.125" customWidth="1"/>
    <col min="13074" max="13074" width="19.5" customWidth="1"/>
    <col min="13306" max="13306" width="6.875" customWidth="1"/>
    <col min="13307" max="13307" width="7.5" customWidth="1"/>
    <col min="13308" max="13308" width="6.75" customWidth="1"/>
    <col min="13309" max="13309" width="8.375" customWidth="1"/>
    <col min="13310" max="13310" width="4.5" customWidth="1"/>
    <col min="13311" max="13311" width="8.25" customWidth="1"/>
    <col min="13312" max="13312" width="3.75" customWidth="1"/>
    <col min="13313" max="13313" width="7.75" customWidth="1"/>
    <col min="13314" max="13314" width="3.75" customWidth="1"/>
    <col min="13315" max="13315" width="7.75" customWidth="1"/>
    <col min="13316" max="13316" width="3.75" customWidth="1"/>
    <col min="13317" max="13317" width="7.75" customWidth="1"/>
    <col min="13318" max="13318" width="3.75" customWidth="1"/>
    <col min="13319" max="13319" width="6.25" customWidth="1"/>
    <col min="13321" max="13321" width="12.625" customWidth="1"/>
    <col min="13322" max="13322" width="19.125" customWidth="1"/>
    <col min="13323" max="13323" width="4.75" customWidth="1"/>
    <col min="13324" max="13324" width="9.875" customWidth="1"/>
    <col min="13325" max="13325" width="11.375" customWidth="1"/>
    <col min="13326" max="13326" width="5.875" customWidth="1"/>
    <col min="13329" max="13329" width="6.125" customWidth="1"/>
    <col min="13330" max="13330" width="19.5" customWidth="1"/>
    <col min="13562" max="13562" width="6.875" customWidth="1"/>
    <col min="13563" max="13563" width="7.5" customWidth="1"/>
    <col min="13564" max="13564" width="6.75" customWidth="1"/>
    <col min="13565" max="13565" width="8.375" customWidth="1"/>
    <col min="13566" max="13566" width="4.5" customWidth="1"/>
    <col min="13567" max="13567" width="8.25" customWidth="1"/>
    <col min="13568" max="13568" width="3.75" customWidth="1"/>
    <col min="13569" max="13569" width="7.75" customWidth="1"/>
    <col min="13570" max="13570" width="3.75" customWidth="1"/>
    <col min="13571" max="13571" width="7.75" customWidth="1"/>
    <col min="13572" max="13572" width="3.75" customWidth="1"/>
    <col min="13573" max="13573" width="7.75" customWidth="1"/>
    <col min="13574" max="13574" width="3.75" customWidth="1"/>
    <col min="13575" max="13575" width="6.25" customWidth="1"/>
    <col min="13577" max="13577" width="12.625" customWidth="1"/>
    <col min="13578" max="13578" width="19.125" customWidth="1"/>
    <col min="13579" max="13579" width="4.75" customWidth="1"/>
    <col min="13580" max="13580" width="9.875" customWidth="1"/>
    <col min="13581" max="13581" width="11.375" customWidth="1"/>
    <col min="13582" max="13582" width="5.875" customWidth="1"/>
    <col min="13585" max="13585" width="6.125" customWidth="1"/>
    <col min="13586" max="13586" width="19.5" customWidth="1"/>
    <col min="13818" max="13818" width="6.875" customWidth="1"/>
    <col min="13819" max="13819" width="7.5" customWidth="1"/>
    <col min="13820" max="13820" width="6.75" customWidth="1"/>
    <col min="13821" max="13821" width="8.375" customWidth="1"/>
    <col min="13822" max="13822" width="4.5" customWidth="1"/>
    <col min="13823" max="13823" width="8.25" customWidth="1"/>
    <col min="13824" max="13824" width="3.75" customWidth="1"/>
    <col min="13825" max="13825" width="7.75" customWidth="1"/>
    <col min="13826" max="13826" width="3.75" customWidth="1"/>
    <col min="13827" max="13827" width="7.75" customWidth="1"/>
    <col min="13828" max="13828" width="3.75" customWidth="1"/>
    <col min="13829" max="13829" width="7.75" customWidth="1"/>
    <col min="13830" max="13830" width="3.75" customWidth="1"/>
    <col min="13831" max="13831" width="6.25" customWidth="1"/>
    <col min="13833" max="13833" width="12.625" customWidth="1"/>
    <col min="13834" max="13834" width="19.125" customWidth="1"/>
    <col min="13835" max="13835" width="4.75" customWidth="1"/>
    <col min="13836" max="13836" width="9.875" customWidth="1"/>
    <col min="13837" max="13837" width="11.375" customWidth="1"/>
    <col min="13838" max="13838" width="5.875" customWidth="1"/>
    <col min="13841" max="13841" width="6.125" customWidth="1"/>
    <col min="13842" max="13842" width="19.5" customWidth="1"/>
    <col min="14074" max="14074" width="6.875" customWidth="1"/>
    <col min="14075" max="14075" width="7.5" customWidth="1"/>
    <col min="14076" max="14076" width="6.75" customWidth="1"/>
    <col min="14077" max="14077" width="8.375" customWidth="1"/>
    <col min="14078" max="14078" width="4.5" customWidth="1"/>
    <col min="14079" max="14079" width="8.25" customWidth="1"/>
    <col min="14080" max="14080" width="3.75" customWidth="1"/>
    <col min="14081" max="14081" width="7.75" customWidth="1"/>
    <col min="14082" max="14082" width="3.75" customWidth="1"/>
    <col min="14083" max="14083" width="7.75" customWidth="1"/>
    <col min="14084" max="14084" width="3.75" customWidth="1"/>
    <col min="14085" max="14085" width="7.75" customWidth="1"/>
    <col min="14086" max="14086" width="3.75" customWidth="1"/>
    <col min="14087" max="14087" width="6.25" customWidth="1"/>
    <col min="14089" max="14089" width="12.625" customWidth="1"/>
    <col min="14090" max="14090" width="19.125" customWidth="1"/>
    <col min="14091" max="14091" width="4.75" customWidth="1"/>
    <col min="14092" max="14092" width="9.875" customWidth="1"/>
    <col min="14093" max="14093" width="11.375" customWidth="1"/>
    <col min="14094" max="14094" width="5.875" customWidth="1"/>
    <col min="14097" max="14097" width="6.125" customWidth="1"/>
    <col min="14098" max="14098" width="19.5" customWidth="1"/>
    <col min="14330" max="14330" width="6.875" customWidth="1"/>
    <col min="14331" max="14331" width="7.5" customWidth="1"/>
    <col min="14332" max="14332" width="6.75" customWidth="1"/>
    <col min="14333" max="14333" width="8.375" customWidth="1"/>
    <col min="14334" max="14334" width="4.5" customWidth="1"/>
    <col min="14335" max="14335" width="8.25" customWidth="1"/>
    <col min="14336" max="14336" width="3.75" customWidth="1"/>
    <col min="14337" max="14337" width="7.75" customWidth="1"/>
    <col min="14338" max="14338" width="3.75" customWidth="1"/>
    <col min="14339" max="14339" width="7.75" customWidth="1"/>
    <col min="14340" max="14340" width="3.75" customWidth="1"/>
    <col min="14341" max="14341" width="7.75" customWidth="1"/>
    <col min="14342" max="14342" width="3.75" customWidth="1"/>
    <col min="14343" max="14343" width="6.25" customWidth="1"/>
    <col min="14345" max="14345" width="12.625" customWidth="1"/>
    <col min="14346" max="14346" width="19.125" customWidth="1"/>
    <col min="14347" max="14347" width="4.75" customWidth="1"/>
    <col min="14348" max="14348" width="9.875" customWidth="1"/>
    <col min="14349" max="14349" width="11.375" customWidth="1"/>
    <col min="14350" max="14350" width="5.875" customWidth="1"/>
    <col min="14353" max="14353" width="6.125" customWidth="1"/>
    <col min="14354" max="14354" width="19.5" customWidth="1"/>
    <col min="14586" max="14586" width="6.875" customWidth="1"/>
    <col min="14587" max="14587" width="7.5" customWidth="1"/>
    <col min="14588" max="14588" width="6.75" customWidth="1"/>
    <col min="14589" max="14589" width="8.375" customWidth="1"/>
    <col min="14590" max="14590" width="4.5" customWidth="1"/>
    <col min="14591" max="14591" width="8.25" customWidth="1"/>
    <col min="14592" max="14592" width="3.75" customWidth="1"/>
    <col min="14593" max="14593" width="7.75" customWidth="1"/>
    <col min="14594" max="14594" width="3.75" customWidth="1"/>
    <col min="14595" max="14595" width="7.75" customWidth="1"/>
    <col min="14596" max="14596" width="3.75" customWidth="1"/>
    <col min="14597" max="14597" width="7.75" customWidth="1"/>
    <col min="14598" max="14598" width="3.75" customWidth="1"/>
    <col min="14599" max="14599" width="6.25" customWidth="1"/>
    <col min="14601" max="14601" width="12.625" customWidth="1"/>
    <col min="14602" max="14602" width="19.125" customWidth="1"/>
    <col min="14603" max="14603" width="4.75" customWidth="1"/>
    <col min="14604" max="14604" width="9.875" customWidth="1"/>
    <col min="14605" max="14605" width="11.375" customWidth="1"/>
    <col min="14606" max="14606" width="5.875" customWidth="1"/>
    <col min="14609" max="14609" width="6.125" customWidth="1"/>
    <col min="14610" max="14610" width="19.5" customWidth="1"/>
    <col min="14842" max="14842" width="6.875" customWidth="1"/>
    <col min="14843" max="14843" width="7.5" customWidth="1"/>
    <col min="14844" max="14844" width="6.75" customWidth="1"/>
    <col min="14845" max="14845" width="8.375" customWidth="1"/>
    <col min="14846" max="14846" width="4.5" customWidth="1"/>
    <col min="14847" max="14847" width="8.25" customWidth="1"/>
    <col min="14848" max="14848" width="3.75" customWidth="1"/>
    <col min="14849" max="14849" width="7.75" customWidth="1"/>
    <col min="14850" max="14850" width="3.75" customWidth="1"/>
    <col min="14851" max="14851" width="7.75" customWidth="1"/>
    <col min="14852" max="14852" width="3.75" customWidth="1"/>
    <col min="14853" max="14853" width="7.75" customWidth="1"/>
    <col min="14854" max="14854" width="3.75" customWidth="1"/>
    <col min="14855" max="14855" width="6.25" customWidth="1"/>
    <col min="14857" max="14857" width="12.625" customWidth="1"/>
    <col min="14858" max="14858" width="19.125" customWidth="1"/>
    <col min="14859" max="14859" width="4.75" customWidth="1"/>
    <col min="14860" max="14860" width="9.875" customWidth="1"/>
    <col min="14861" max="14861" width="11.375" customWidth="1"/>
    <col min="14862" max="14862" width="5.875" customWidth="1"/>
    <col min="14865" max="14865" width="6.125" customWidth="1"/>
    <col min="14866" max="14866" width="19.5" customWidth="1"/>
    <col min="15098" max="15098" width="6.875" customWidth="1"/>
    <col min="15099" max="15099" width="7.5" customWidth="1"/>
    <col min="15100" max="15100" width="6.75" customWidth="1"/>
    <col min="15101" max="15101" width="8.375" customWidth="1"/>
    <col min="15102" max="15102" width="4.5" customWidth="1"/>
    <col min="15103" max="15103" width="8.25" customWidth="1"/>
    <col min="15104" max="15104" width="3.75" customWidth="1"/>
    <col min="15105" max="15105" width="7.75" customWidth="1"/>
    <col min="15106" max="15106" width="3.75" customWidth="1"/>
    <col min="15107" max="15107" width="7.75" customWidth="1"/>
    <col min="15108" max="15108" width="3.75" customWidth="1"/>
    <col min="15109" max="15109" width="7.75" customWidth="1"/>
    <col min="15110" max="15110" width="3.75" customWidth="1"/>
    <col min="15111" max="15111" width="6.25" customWidth="1"/>
    <col min="15113" max="15113" width="12.625" customWidth="1"/>
    <col min="15114" max="15114" width="19.125" customWidth="1"/>
    <col min="15115" max="15115" width="4.75" customWidth="1"/>
    <col min="15116" max="15116" width="9.875" customWidth="1"/>
    <col min="15117" max="15117" width="11.375" customWidth="1"/>
    <col min="15118" max="15118" width="5.875" customWidth="1"/>
    <col min="15121" max="15121" width="6.125" customWidth="1"/>
    <col min="15122" max="15122" width="19.5" customWidth="1"/>
    <col min="15354" max="15354" width="6.875" customWidth="1"/>
    <col min="15355" max="15355" width="7.5" customWidth="1"/>
    <col min="15356" max="15356" width="6.75" customWidth="1"/>
    <col min="15357" max="15357" width="8.375" customWidth="1"/>
    <col min="15358" max="15358" width="4.5" customWidth="1"/>
    <col min="15359" max="15359" width="8.25" customWidth="1"/>
    <col min="15360" max="15360" width="3.75" customWidth="1"/>
    <col min="15361" max="15361" width="7.75" customWidth="1"/>
    <col min="15362" max="15362" width="3.75" customWidth="1"/>
    <col min="15363" max="15363" width="7.75" customWidth="1"/>
    <col min="15364" max="15364" width="3.75" customWidth="1"/>
    <col min="15365" max="15365" width="7.75" customWidth="1"/>
    <col min="15366" max="15366" width="3.75" customWidth="1"/>
    <col min="15367" max="15367" width="6.25" customWidth="1"/>
    <col min="15369" max="15369" width="12.625" customWidth="1"/>
    <col min="15370" max="15370" width="19.125" customWidth="1"/>
    <col min="15371" max="15371" width="4.75" customWidth="1"/>
    <col min="15372" max="15372" width="9.875" customWidth="1"/>
    <col min="15373" max="15373" width="11.375" customWidth="1"/>
    <col min="15374" max="15374" width="5.875" customWidth="1"/>
    <col min="15377" max="15377" width="6.125" customWidth="1"/>
    <col min="15378" max="15378" width="19.5" customWidth="1"/>
    <col min="15610" max="15610" width="6.875" customWidth="1"/>
    <col min="15611" max="15611" width="7.5" customWidth="1"/>
    <col min="15612" max="15612" width="6.75" customWidth="1"/>
    <col min="15613" max="15613" width="8.375" customWidth="1"/>
    <col min="15614" max="15614" width="4.5" customWidth="1"/>
    <col min="15615" max="15615" width="8.25" customWidth="1"/>
    <col min="15616" max="15616" width="3.75" customWidth="1"/>
    <col min="15617" max="15617" width="7.75" customWidth="1"/>
    <col min="15618" max="15618" width="3.75" customWidth="1"/>
    <col min="15619" max="15619" width="7.75" customWidth="1"/>
    <col min="15620" max="15620" width="3.75" customWidth="1"/>
    <col min="15621" max="15621" width="7.75" customWidth="1"/>
    <col min="15622" max="15622" width="3.75" customWidth="1"/>
    <col min="15623" max="15623" width="6.25" customWidth="1"/>
    <col min="15625" max="15625" width="12.625" customWidth="1"/>
    <col min="15626" max="15626" width="19.125" customWidth="1"/>
    <col min="15627" max="15627" width="4.75" customWidth="1"/>
    <col min="15628" max="15628" width="9.875" customWidth="1"/>
    <col min="15629" max="15629" width="11.375" customWidth="1"/>
    <col min="15630" max="15630" width="5.875" customWidth="1"/>
    <col min="15633" max="15633" width="6.125" customWidth="1"/>
    <col min="15634" max="15634" width="19.5" customWidth="1"/>
    <col min="15866" max="15866" width="6.875" customWidth="1"/>
    <col min="15867" max="15867" width="7.5" customWidth="1"/>
    <col min="15868" max="15868" width="6.75" customWidth="1"/>
    <col min="15869" max="15869" width="8.375" customWidth="1"/>
    <col min="15870" max="15870" width="4.5" customWidth="1"/>
    <col min="15871" max="15871" width="8.25" customWidth="1"/>
    <col min="15872" max="15872" width="3.75" customWidth="1"/>
    <col min="15873" max="15873" width="7.75" customWidth="1"/>
    <col min="15874" max="15874" width="3.75" customWidth="1"/>
    <col min="15875" max="15875" width="7.75" customWidth="1"/>
    <col min="15876" max="15876" width="3.75" customWidth="1"/>
    <col min="15877" max="15877" width="7.75" customWidth="1"/>
    <col min="15878" max="15878" width="3.75" customWidth="1"/>
    <col min="15879" max="15879" width="6.25" customWidth="1"/>
    <col min="15881" max="15881" width="12.625" customWidth="1"/>
    <col min="15882" max="15882" width="19.125" customWidth="1"/>
    <col min="15883" max="15883" width="4.75" customWidth="1"/>
    <col min="15884" max="15884" width="9.875" customWidth="1"/>
    <col min="15885" max="15885" width="11.375" customWidth="1"/>
    <col min="15886" max="15886" width="5.875" customWidth="1"/>
    <col min="15889" max="15889" width="6.125" customWidth="1"/>
    <col min="15890" max="15890" width="19.5" customWidth="1"/>
    <col min="16122" max="16122" width="6.875" customWidth="1"/>
    <col min="16123" max="16123" width="7.5" customWidth="1"/>
    <col min="16124" max="16124" width="6.75" customWidth="1"/>
    <col min="16125" max="16125" width="8.375" customWidth="1"/>
    <col min="16126" max="16126" width="4.5" customWidth="1"/>
    <col min="16127" max="16127" width="8.25" customWidth="1"/>
    <col min="16128" max="16128" width="3.75" customWidth="1"/>
    <col min="16129" max="16129" width="7.75" customWidth="1"/>
    <col min="16130" max="16130" width="3.75" customWidth="1"/>
    <col min="16131" max="16131" width="7.75" customWidth="1"/>
    <col min="16132" max="16132" width="3.75" customWidth="1"/>
    <col min="16133" max="16133" width="7.75" customWidth="1"/>
    <col min="16134" max="16134" width="3.75" customWidth="1"/>
    <col min="16135" max="16135" width="6.25" customWidth="1"/>
    <col min="16137" max="16137" width="12.625" customWidth="1"/>
    <col min="16138" max="16138" width="19.125" customWidth="1"/>
    <col min="16139" max="16139" width="4.75" customWidth="1"/>
    <col min="16140" max="16140" width="9.875" customWidth="1"/>
    <col min="16141" max="16141" width="11.375" customWidth="1"/>
    <col min="16142" max="16142" width="5.875" customWidth="1"/>
    <col min="16145" max="16145" width="6.125" customWidth="1"/>
    <col min="16146" max="16146" width="19.5" customWidth="1"/>
  </cols>
  <sheetData>
    <row r="1" spans="1:13" ht="15" customHeight="1" thickBot="1">
      <c r="A1" s="112" t="s">
        <v>20</v>
      </c>
      <c r="B1" s="149">
        <v>8</v>
      </c>
      <c r="C1" s="113" t="s">
        <v>0</v>
      </c>
      <c r="D1" s="114"/>
      <c r="E1" s="115"/>
      <c r="F1" s="115"/>
      <c r="G1" s="115"/>
      <c r="H1" s="116" t="str">
        <f>"←ここは"&amp;作業・変換!C55&amp;"～"&amp;作業・変換!G55&amp;"（年度）のみ入力可です。"</f>
        <v>←ここは4～8（年度）のみ入力可です。</v>
      </c>
    </row>
    <row r="2" spans="1:13" ht="15" customHeight="1" thickBot="1">
      <c r="A2" s="258" t="s">
        <v>125</v>
      </c>
      <c r="B2" s="259"/>
      <c r="C2" s="260"/>
      <c r="D2" s="14" t="s">
        <v>71</v>
      </c>
      <c r="E2" s="171" t="s">
        <v>170</v>
      </c>
    </row>
    <row r="3" spans="1:13" ht="15" customHeight="1" thickTop="1" thickBot="1">
      <c r="A3" s="263" t="s">
        <v>1</v>
      </c>
      <c r="B3" s="264"/>
      <c r="C3" s="117">
        <f>COUNT(C7:G7)-IF(AND(D2="しない",COUNT(C7:G7)&gt;0),1,0)</f>
        <v>0</v>
      </c>
      <c r="D3" s="227" t="str">
        <f>"人"&amp;IF(D2="しない","＋擬制（加入しない）世帯主"&amp;TEXT(COUNT(C7),"0")&amp;"人","")</f>
        <v>人</v>
      </c>
      <c r="E3" s="228"/>
      <c r="F3" s="228"/>
      <c r="G3" s="228"/>
      <c r="I3" s="232" t="s">
        <v>56</v>
      </c>
      <c r="J3" s="233"/>
      <c r="K3" s="234"/>
    </row>
    <row r="4" spans="1:13" ht="15" customHeight="1" thickTop="1" thickBot="1">
      <c r="A4" s="265" t="s">
        <v>17</v>
      </c>
      <c r="B4" s="266"/>
      <c r="C4" s="118">
        <f>DATE(B1+2018,4,1)</f>
        <v>46113</v>
      </c>
      <c r="D4" s="118" t="str">
        <f>IF(COUNTA(D7)=1,$C4,"")</f>
        <v/>
      </c>
      <c r="E4" s="118" t="str">
        <f t="shared" ref="E4:G4" si="0">IF(COUNTA(E7)=1,$C4,"")</f>
        <v/>
      </c>
      <c r="F4" s="118" t="str">
        <f t="shared" si="0"/>
        <v/>
      </c>
      <c r="G4" s="118" t="str">
        <f t="shared" si="0"/>
        <v/>
      </c>
      <c r="H4" s="119"/>
      <c r="I4" s="235" t="s">
        <v>57</v>
      </c>
      <c r="J4" s="236"/>
      <c r="K4" s="237"/>
    </row>
    <row r="5" spans="1:13" ht="15" customHeight="1" thickTop="1" thickBot="1">
      <c r="A5" s="238" t="s">
        <v>18</v>
      </c>
      <c r="B5" s="239"/>
      <c r="C5" s="120" t="str">
        <f>IF(C7="","",MAX(ROUNDDOWN(YEARFRAC(C7,C4,1),0),0))</f>
        <v/>
      </c>
      <c r="D5" s="120" t="str">
        <f>IF(D7="","",MAX(ROUNDDOWN(YEARFRAC(D7,D4,1),0),0))</f>
        <v/>
      </c>
      <c r="E5" s="120" t="str">
        <f>IF(E7="","",MAX(ROUNDDOWN(YEARFRAC(E7,E4,1),0),0))</f>
        <v/>
      </c>
      <c r="F5" s="120" t="str">
        <f>IF(F7="","",MAX(ROUNDDOWN(YEARFRAC(F7,F4,1),0),0))</f>
        <v/>
      </c>
      <c r="G5" s="121" t="str">
        <f>IF(G7="","",MAX(ROUNDDOWN(YEARFRAC(G7,G4,1),0),0))</f>
        <v/>
      </c>
      <c r="H5" s="119"/>
      <c r="I5" s="229" t="s">
        <v>58</v>
      </c>
      <c r="J5" s="230"/>
      <c r="K5" s="231"/>
    </row>
    <row r="6" spans="1:13" ht="15" customHeight="1" thickTop="1" thickBot="1">
      <c r="A6" s="238" t="s">
        <v>156</v>
      </c>
      <c r="B6" s="239"/>
      <c r="C6" s="122" t="str">
        <f>IF(D2="しない","擬制世帯主Ａ","世帯主Ａ")</f>
        <v>世帯主Ａ</v>
      </c>
      <c r="D6" s="123" t="str">
        <f>IF(COUNTA(D7)=1,"加入者B","")</f>
        <v/>
      </c>
      <c r="E6" s="123" t="str">
        <f>IF(COUNTA(E7)=1,"加入者C","")</f>
        <v/>
      </c>
      <c r="F6" s="123" t="str">
        <f>IF(COUNTA(F7)=1,"加入者D","")</f>
        <v/>
      </c>
      <c r="G6" s="124" t="str">
        <f>IF(COUNTA(G7)=1,"加入者E","")</f>
        <v/>
      </c>
      <c r="I6" s="251" t="s">
        <v>168</v>
      </c>
      <c r="J6" s="252"/>
      <c r="K6" s="253"/>
    </row>
    <row r="7" spans="1:13" ht="15" customHeight="1" thickTop="1">
      <c r="A7" s="238" t="s">
        <v>2</v>
      </c>
      <c r="B7" s="239"/>
      <c r="C7" s="150"/>
      <c r="D7" s="150"/>
      <c r="E7" s="150"/>
      <c r="F7" s="150"/>
      <c r="G7" s="150"/>
      <c r="H7" s="247" t="s">
        <v>68</v>
      </c>
      <c r="I7" s="248"/>
      <c r="J7" s="248"/>
      <c r="K7" s="248"/>
      <c r="L7" s="248"/>
    </row>
    <row r="8" spans="1:13" ht="15" customHeight="1" thickBot="1">
      <c r="A8" s="240" t="s">
        <v>33</v>
      </c>
      <c r="B8" s="241"/>
      <c r="C8" s="183"/>
      <c r="D8" s="183"/>
      <c r="E8" s="183"/>
      <c r="F8" s="183"/>
      <c r="G8" s="184"/>
      <c r="H8" s="249" t="s">
        <v>158</v>
      </c>
      <c r="I8" s="248"/>
      <c r="J8" s="248"/>
      <c r="K8" s="248"/>
      <c r="L8" s="248"/>
      <c r="M8" s="125"/>
    </row>
    <row r="9" spans="1:13" ht="15" customHeight="1">
      <c r="A9" s="242" t="s">
        <v>161</v>
      </c>
      <c r="B9" s="243"/>
      <c r="C9" s="151"/>
      <c r="D9" s="151"/>
      <c r="E9" s="151"/>
      <c r="F9" s="151"/>
      <c r="G9" s="152"/>
      <c r="H9" s="126"/>
      <c r="I9" s="254" t="s">
        <v>167</v>
      </c>
      <c r="J9" s="248"/>
      <c r="K9" s="248"/>
      <c r="L9" s="248"/>
    </row>
    <row r="10" spans="1:13" ht="15" customHeight="1">
      <c r="A10" s="271" t="s">
        <v>162</v>
      </c>
      <c r="B10" s="272"/>
      <c r="C10" s="110">
        <f>IF(COUNT(C11)=1,"↓",VLOOKUP(C9,作業・変換!$C$3:$E$17,HLOOKUP($B$1,作業・変換!$C$55:$G$74,20)+1,TRUE))</f>
        <v>0</v>
      </c>
      <c r="D10" s="110">
        <f>IF(COUNT(D11)=1,"↓",VLOOKUP(D9,作業・変換!$G$3:$I$17,HLOOKUP($B$1,作業・変換!$C$55:$G$74,20)+1,TRUE))</f>
        <v>0</v>
      </c>
      <c r="E10" s="110">
        <f>IF(COUNT(E11)=1,"↓",VLOOKUP(E9,作業・変換!$K$3:$M$17,HLOOKUP($B$1,作業・変換!$C$55:$G$74,20)+1,TRUE))</f>
        <v>0</v>
      </c>
      <c r="F10" s="110">
        <f>IF(COUNT(F11)=1,"↓",VLOOKUP(F9,作業・変換!$O$3:$Q$17,HLOOKUP($B$1,作業・変換!$C$55:$G$74,20)+1,TRUE))</f>
        <v>0</v>
      </c>
      <c r="G10" s="111">
        <f>IF(COUNT(G11)=1,"↓",VLOOKUP(G9,作業・変換!$S$3:$U$17,HLOOKUP($B$1,作業・変換!$C$55:$G$74,20)+1,TRUE))</f>
        <v>0</v>
      </c>
      <c r="H10" s="250" t="s">
        <v>159</v>
      </c>
      <c r="I10" s="248"/>
      <c r="J10" s="248"/>
      <c r="K10" s="248"/>
      <c r="L10" s="248"/>
    </row>
    <row r="11" spans="1:13" ht="15" customHeight="1" thickBot="1">
      <c r="A11" s="273"/>
      <c r="B11" s="274"/>
      <c r="C11" s="153"/>
      <c r="D11" s="153"/>
      <c r="E11" s="153"/>
      <c r="F11" s="153"/>
      <c r="G11" s="154"/>
      <c r="H11" s="250" t="s">
        <v>172</v>
      </c>
      <c r="I11" s="248"/>
      <c r="J11" s="248"/>
      <c r="K11" s="248"/>
      <c r="L11" s="248"/>
    </row>
    <row r="12" spans="1:13" ht="18.75" hidden="1" customHeight="1">
      <c r="A12" s="267" t="s">
        <v>35</v>
      </c>
      <c r="B12" s="268"/>
      <c r="C12" s="185">
        <f>IF(COUNT(C11)=1,C11,C10)</f>
        <v>0</v>
      </c>
      <c r="D12" s="185">
        <f t="shared" ref="D12:G12" si="1">IF(COUNT(D11)=1,D11,D10)</f>
        <v>0</v>
      </c>
      <c r="E12" s="185">
        <f t="shared" si="1"/>
        <v>0</v>
      </c>
      <c r="F12" s="185">
        <f t="shared" si="1"/>
        <v>0</v>
      </c>
      <c r="G12" s="186">
        <f t="shared" si="1"/>
        <v>0</v>
      </c>
      <c r="H12" s="119"/>
    </row>
    <row r="13" spans="1:13" ht="15" customHeight="1">
      <c r="A13" s="242" t="s">
        <v>163</v>
      </c>
      <c r="B13" s="243"/>
      <c r="C13" s="189"/>
      <c r="D13" s="189"/>
      <c r="E13" s="189"/>
      <c r="F13" s="189"/>
      <c r="G13" s="190"/>
      <c r="H13" s="119"/>
    </row>
    <row r="14" spans="1:13" ht="15" customHeight="1">
      <c r="A14" s="271" t="s">
        <v>164</v>
      </c>
      <c r="B14" s="272"/>
      <c r="C14" s="127">
        <f>IF(COUNT(C15)=1,"↓",IF(C7&lt;=作業・変換!$B$20,VLOOKUP(C13,作業・変換!$C$22:$E$27,HLOOKUP($B$1,作業・変換!$C$55:$G$74,20)+1,TRUE),VLOOKUP(C13,作業・変換!$C$31:$E$36,HLOOKUP($B$1,作業・変換!$C$55:$G$74,20)+1,TRUE)))</f>
        <v>0</v>
      </c>
      <c r="D14" s="127">
        <f>IF(COUNT(D15)=1,"↓",IF(D7&lt;=作業・変換!$B$20,VLOOKUP(D13,作業・変換!$G$22:$I$27,HLOOKUP($B$1,作業・変換!$C$55:$G$74,20)+1,TRUE),VLOOKUP(D13,作業・変換!$G$31:$I$36,HLOOKUP($B$1,作業・変換!$C$55:$G$74,20)+1,TRUE)))</f>
        <v>0</v>
      </c>
      <c r="E14" s="127">
        <f>IF(COUNT(E15)=1,"↓",IF(E7&lt;=作業・変換!$B$20,VLOOKUP(E13,作業・変換!$K$22:$M$27,HLOOKUP($B$1,作業・変換!$C$55:$G$74,20)+1,TRUE),VLOOKUP(E13,作業・変換!$K$31:$M$36,HLOOKUP($B$1,作業・変換!$C$55:$G$74,20)+1,TRUE)))</f>
        <v>0</v>
      </c>
      <c r="F14" s="127">
        <f>IF(COUNT(F15)=1,"↓",IF(F7&lt;=作業・変換!$B$20,VLOOKUP(F13,作業・変換!$O$22:$Q$27,HLOOKUP($B$1,作業・変換!$C$55:$G$74,20)+1,TRUE),VLOOKUP(F13,作業・変換!$O$31:$Q$36,HLOOKUP($B$1,作業・変換!$C$55:$G$74,20)+1,TRUE)))</f>
        <v>0</v>
      </c>
      <c r="G14" s="128">
        <f>IF(COUNT(G15)=1,"↓",IF(G7&lt;=作業・変換!$B$20,VLOOKUP(G13,作業・変換!$S$22:$U$27,HLOOKUP($B$1,作業・変換!$C$55:$G$74,20)+1,TRUE),VLOOKUP(G13,作業・変換!$S$31:$U$36,HLOOKUP($B$1,作業・変換!$C$55:$G$74,20)+1,TRUE)))</f>
        <v>0</v>
      </c>
      <c r="H14" s="250" t="s">
        <v>160</v>
      </c>
      <c r="I14" s="248"/>
      <c r="J14" s="248"/>
      <c r="K14" s="248"/>
      <c r="L14" s="248"/>
    </row>
    <row r="15" spans="1:13" ht="15" customHeight="1" thickBot="1">
      <c r="A15" s="275"/>
      <c r="B15" s="276"/>
      <c r="C15" s="191"/>
      <c r="D15" s="191"/>
      <c r="E15" s="191"/>
      <c r="F15" s="191"/>
      <c r="G15" s="192"/>
      <c r="H15" s="250" t="s">
        <v>173</v>
      </c>
      <c r="I15" s="248"/>
      <c r="J15" s="248"/>
      <c r="K15" s="248"/>
      <c r="L15" s="248"/>
    </row>
    <row r="16" spans="1:13" ht="18.75" hidden="1" customHeight="1">
      <c r="A16" s="269" t="s">
        <v>36</v>
      </c>
      <c r="B16" s="270"/>
      <c r="C16" s="187">
        <f>IF(COUNT(C15)=1,C15,C14)</f>
        <v>0</v>
      </c>
      <c r="D16" s="187">
        <f t="shared" ref="D16:G16" si="2">IF(COUNT(D15)=1,D15,D14)</f>
        <v>0</v>
      </c>
      <c r="E16" s="187">
        <f t="shared" si="2"/>
        <v>0</v>
      </c>
      <c r="F16" s="187">
        <f t="shared" si="2"/>
        <v>0</v>
      </c>
      <c r="G16" s="188">
        <f t="shared" si="2"/>
        <v>0</v>
      </c>
      <c r="H16" s="119"/>
    </row>
    <row r="17" spans="1:12" ht="15" customHeight="1" thickBot="1">
      <c r="A17" s="271" t="s">
        <v>165</v>
      </c>
      <c r="B17" s="272"/>
      <c r="C17" s="193"/>
      <c r="D17" s="194"/>
      <c r="E17" s="194"/>
      <c r="F17" s="194"/>
      <c r="G17" s="195"/>
      <c r="H17" s="250" t="s">
        <v>157</v>
      </c>
      <c r="I17" s="248"/>
      <c r="J17" s="248"/>
      <c r="K17" s="248"/>
      <c r="L17" s="248"/>
    </row>
    <row r="18" spans="1:12" ht="15" customHeight="1" thickBot="1">
      <c r="A18" s="256" t="s">
        <v>166</v>
      </c>
      <c r="B18" s="257"/>
      <c r="C18" s="196">
        <f>IF(AND(COUNT(C7)=1,C12+C16+C17&gt;0),C12+C16+C17,0)</f>
        <v>0</v>
      </c>
      <c r="D18" s="196">
        <f t="shared" ref="D18:G18" si="3">IF(AND(COUNT(D7)=1,D12+D16+D17&gt;0),D12+D16+D17,0)</f>
        <v>0</v>
      </c>
      <c r="E18" s="196">
        <f t="shared" si="3"/>
        <v>0</v>
      </c>
      <c r="F18" s="196">
        <f t="shared" si="3"/>
        <v>0</v>
      </c>
      <c r="G18" s="197">
        <f t="shared" si="3"/>
        <v>0</v>
      </c>
      <c r="H18" s="114"/>
      <c r="I18" s="129"/>
    </row>
    <row r="19" spans="1:12" ht="15" customHeight="1">
      <c r="A19" s="255" t="s">
        <v>127</v>
      </c>
      <c r="B19" s="255"/>
      <c r="C19" s="130">
        <f>IF(C27=1,C12*0.7,0)</f>
        <v>0</v>
      </c>
      <c r="D19" s="130">
        <f>IF(D27=1,D12*0.7,0)</f>
        <v>0</v>
      </c>
      <c r="E19" s="130">
        <f>IF(E27=1,E12*0.7,0)</f>
        <v>0</v>
      </c>
      <c r="F19" s="130">
        <f>IF(F27=1,F12*0.7,0)</f>
        <v>0</v>
      </c>
      <c r="G19" s="130">
        <f>IF(G27=1,G12*0.7,0)</f>
        <v>0</v>
      </c>
      <c r="H19" s="114"/>
      <c r="I19" s="280" t="s">
        <v>61</v>
      </c>
      <c r="J19" s="281"/>
      <c r="K19" s="282"/>
    </row>
    <row r="20" spans="1:12" ht="15" customHeight="1" thickBot="1">
      <c r="A20" s="13" t="s">
        <v>174</v>
      </c>
      <c r="B20" s="244" t="s">
        <v>176</v>
      </c>
      <c r="C20" s="130">
        <f>IF(AND(COUNT(C7)=1,C12&gt;0,C16&gt;0),MIN(100000,C12)+MIN(100000,C16)-100000,0)</f>
        <v>0</v>
      </c>
      <c r="D20" s="130">
        <f t="shared" ref="D20:G20" si="4">IF(AND(COUNT(D7)=1,D12&gt;0,D16&gt;0),MIN(100000,D12)+MIN(100000,D16)-100000,0)</f>
        <v>0</v>
      </c>
      <c r="E20" s="130">
        <f t="shared" si="4"/>
        <v>0</v>
      </c>
      <c r="F20" s="130">
        <f t="shared" si="4"/>
        <v>0</v>
      </c>
      <c r="G20" s="130">
        <f t="shared" si="4"/>
        <v>0</v>
      </c>
      <c r="H20" s="114"/>
      <c r="I20" s="245">
        <f>SUM(C31:G31)</f>
        <v>0</v>
      </c>
      <c r="J20" s="246"/>
      <c r="K20" s="131" t="s">
        <v>3</v>
      </c>
    </row>
    <row r="21" spans="1:12" ht="15" customHeight="1">
      <c r="A21" s="182" t="s">
        <v>175</v>
      </c>
      <c r="B21" s="244"/>
      <c r="C21" s="130">
        <f>IF(AND(COUNT(C7)=1,C12&gt;0,C16-C25&gt;0),MIN(100000,C12)+MIN(100000,C16-C25)-100000,0)</f>
        <v>0</v>
      </c>
      <c r="D21" s="130">
        <f>IF(AND(COUNT(D7)=1,D12&gt;0,D16-D25&gt;0),MIN(100000,D12)+MIN(100000,D16-D25)-100000,0)</f>
        <v>0</v>
      </c>
      <c r="E21" s="130">
        <f>IF(AND(COUNT(E7)=1,E12&gt;0,E16-E25&gt;0),MIN(100000,E12)+MIN(100000,E16-E25)-100000,0)</f>
        <v>0</v>
      </c>
      <c r="F21" s="130">
        <f>IF(AND(COUNT(F7)=1,F12&gt;0,F16-F25&gt;0),MIN(100000,F12)+MIN(100000,F16-F25)-100000,0)</f>
        <v>0</v>
      </c>
      <c r="G21" s="130">
        <f>IF(AND(COUNT(G7)=1,G12&gt;0,G16-G25&gt;0),MIN(100000,G12)+MIN(100000,G16-G25)-100000,0)</f>
        <v>0</v>
      </c>
      <c r="I21" s="277" t="s">
        <v>126</v>
      </c>
      <c r="J21" s="278"/>
      <c r="K21" s="279"/>
    </row>
    <row r="22" spans="1:12" ht="15" customHeight="1">
      <c r="A22" s="182" t="s">
        <v>178</v>
      </c>
      <c r="B22" s="244" t="s">
        <v>180</v>
      </c>
      <c r="C22" s="132">
        <f>IF(C18-(C19+C20)&gt;0,C18-(C19+C20),0)</f>
        <v>0</v>
      </c>
      <c r="D22" s="132">
        <f>IF(D18-(D19+D20)&gt;0,D18-(D19+D20),0)</f>
        <v>0</v>
      </c>
      <c r="E22" s="132">
        <f>IF(E18-(E19+E20)&gt;0,E18-(E19+E20),0)</f>
        <v>0</v>
      </c>
      <c r="F22" s="132">
        <f>IF(F18-(F19+F20)&gt;0,F18-(F19+F20),0)</f>
        <v>0</v>
      </c>
      <c r="G22" s="132">
        <f>IF(G18-(G19+G20)&gt;0,G18-(G19+G20),0)</f>
        <v>0</v>
      </c>
      <c r="H22" s="114"/>
      <c r="I22" s="11" t="s">
        <v>4</v>
      </c>
      <c r="J22" s="134">
        <f>税額計算情報!G3+IF(SUM(C26:G26)&gt;0,100000*(SUM(C26:G26)-1),0)</f>
        <v>430000</v>
      </c>
      <c r="K22" s="135" t="s">
        <v>5</v>
      </c>
    </row>
    <row r="23" spans="1:12" ht="15" customHeight="1">
      <c r="A23" s="182" t="s">
        <v>179</v>
      </c>
      <c r="B23" s="244"/>
      <c r="C23" s="132">
        <f>IF(C18-(C19+C21)&gt;0,C18-(C19+C21),0)</f>
        <v>0</v>
      </c>
      <c r="D23" s="132">
        <f t="shared" ref="D23:G23" si="5">IF(D18-(D19+D21)&gt;0,D18-(D19+D21),0)</f>
        <v>0</v>
      </c>
      <c r="E23" s="132">
        <f t="shared" si="5"/>
        <v>0</v>
      </c>
      <c r="F23" s="132">
        <f t="shared" si="5"/>
        <v>0</v>
      </c>
      <c r="G23" s="132">
        <f t="shared" si="5"/>
        <v>0</v>
      </c>
      <c r="I23" s="11" t="s">
        <v>6</v>
      </c>
      <c r="J23" s="137">
        <f>税額計算情報!G4*C3+税額計算情報!G3+100000*IF(SUM(C26:G26)&gt;0,SUM(C26:G26)-1,0)</f>
        <v>430000</v>
      </c>
      <c r="K23" s="138" t="s">
        <v>5</v>
      </c>
    </row>
    <row r="24" spans="1:12" ht="15" customHeight="1" thickBot="1">
      <c r="A24" s="244" t="s">
        <v>34</v>
      </c>
      <c r="B24" s="244"/>
      <c r="C24" s="133">
        <f>IF(COUNT(C7)=1,VLOOKUP(C18,作業・変換!$C$40:$E$43,HLOOKUP($B$1,作業・変換!$C$55:$G$74,20)+1),0)</f>
        <v>0</v>
      </c>
      <c r="D24" s="133">
        <f>IF(COUNT(D7)=1,VLOOKUP(D18,作業・変換!$G$40:$I$43,HLOOKUP($B$1,作業・変換!$C$55:$G$74,20)+1),0)</f>
        <v>0</v>
      </c>
      <c r="E24" s="133">
        <f>IF(COUNT(E7)=1,VLOOKUP(E18,作業・変換!$K$40:$M$43,HLOOKUP($B$1,作業・変換!$C$55:$G$74,20)+1),0)</f>
        <v>0</v>
      </c>
      <c r="F24" s="133">
        <f>IF(COUNT(F7)=1,VLOOKUP(F18,作業・変換!$O$40:$Q$43,HLOOKUP($B$1,作業・変換!$C$55:$G$74,20)+1),0)</f>
        <v>0</v>
      </c>
      <c r="G24" s="133">
        <f>IF(COUNT(G7)=1,VLOOKUP(G18,作業・変換!$S$40:$U$43,HLOOKUP($B$1,作業・変換!$C$55:$G$74,20)+1),0)</f>
        <v>0</v>
      </c>
      <c r="I24" s="12" t="s">
        <v>7</v>
      </c>
      <c r="J24" s="140">
        <f>税額計算情報!G5*C3+税額計算情報!G3+100000*IF(SUM(C26:G26)&gt;0,SUM(C26:G26)-1,0)</f>
        <v>430000</v>
      </c>
      <c r="K24" s="141" t="s">
        <v>5</v>
      </c>
    </row>
    <row r="25" spans="1:12" ht="15" customHeight="1" thickBot="1">
      <c r="A25" s="244" t="s">
        <v>66</v>
      </c>
      <c r="B25" s="244"/>
      <c r="C25" s="136">
        <f>IF(AND(COUNT(C7)=1,C5&gt;=65),MIN(C16,150000),0)</f>
        <v>0</v>
      </c>
      <c r="D25" s="136">
        <f>IF(AND(COUNT(D7)=1,D5&gt;=65),MIN(D16,150000),0)</f>
        <v>0</v>
      </c>
      <c r="E25" s="136">
        <f>IF(AND(COUNT(E7)=1,E5&gt;=65),MIN(E16,150000),0)</f>
        <v>0</v>
      </c>
      <c r="F25" s="136">
        <f>IF(AND(COUNT(F7)=1,F5&gt;=65),MIN(F16,150000),0)</f>
        <v>0</v>
      </c>
      <c r="G25" s="136">
        <f>IF(AND(COUNT(G7)=1,G5&gt;=65),MIN(G16,150000),0)</f>
        <v>0</v>
      </c>
      <c r="I25" s="66" t="s">
        <v>60</v>
      </c>
    </row>
    <row r="26" spans="1:12" ht="15" customHeight="1" thickTop="1" thickBot="1">
      <c r="A26" s="244" t="s">
        <v>59</v>
      </c>
      <c r="B26" s="244"/>
      <c r="C26" s="139">
        <f>IF(COUNT(C7)=1,IF(OR(C12&gt;=1,AND(C5&lt;65,C16&gt;=1),AND(C5&gt;64,C16&gt;150000)),1,0),0)</f>
        <v>0</v>
      </c>
      <c r="D26" s="139">
        <f>IF(COUNT(D7)=1,IF(OR(D12&gt;=1,AND(D5&lt;65,D16&gt;=1),AND(D5&gt;64,D16&gt;150000)),1,0),0)</f>
        <v>0</v>
      </c>
      <c r="E26" s="139">
        <f>IF(COUNT(E7)=1,IF(OR(E12&gt;=1,AND(E5&lt;65,E16&gt;=1),AND(E5&gt;64,E16&gt;150000)),1,0),0)</f>
        <v>0</v>
      </c>
      <c r="F26" s="139">
        <f>IF(COUNT(F7)=1,IF(OR(F12&gt;=1,AND(F5&lt;65,F16&gt;=1),AND(F5&gt;64,F16&gt;150000)),1,0),0)</f>
        <v>0</v>
      </c>
      <c r="G26" s="139">
        <f>IF(COUNT(G7)=1,IF(OR(G12&gt;=1,AND(G5&lt;65,G16&gt;=1),AND(G5&gt;64,G16&gt;150000)),1,0),0)</f>
        <v>0</v>
      </c>
      <c r="I26" s="285" t="s">
        <v>62</v>
      </c>
      <c r="J26" s="286"/>
      <c r="K26" s="142">
        <f>IF(I20&lt;=J22,7,IF(I20&lt;=J23,5,IF(I20&lt;=J24,2,0)))</f>
        <v>7</v>
      </c>
    </row>
    <row r="27" spans="1:12" ht="15" customHeight="1" thickTop="1" thickBot="1">
      <c r="A27" s="244" t="s">
        <v>91</v>
      </c>
      <c r="B27" s="244"/>
      <c r="C27" s="139">
        <f>IF(AND(COUNTIF(作業・変換!$B$77:$B$85,C8)&gt;0,C5&lt;65,D2="する"),1,0)</f>
        <v>0</v>
      </c>
      <c r="D27" s="139">
        <f>IF(AND(COUNTIF(作業・変換!$B$77:$B$85,D8)&gt;0,D5&lt;65),1,0)</f>
        <v>0</v>
      </c>
      <c r="E27" s="139">
        <f>IF(AND(COUNTIF(作業・変換!$B$77:$B$85,E8)&gt;0,E5&lt;65),1,0)</f>
        <v>0</v>
      </c>
      <c r="F27" s="139">
        <f>IF(AND(COUNTIF(作業・変換!$B$77:$B$85,F8)&gt;0,F5&lt;65),1,0)</f>
        <v>0</v>
      </c>
      <c r="G27" s="139">
        <f>IF(AND(COUNTIF(作業・変換!$B$77:$B$85,G8)&gt;0,G5&lt;65),1,0)</f>
        <v>0</v>
      </c>
    </row>
    <row r="28" spans="1:12" ht="15" customHeight="1" thickBot="1">
      <c r="A28" s="244" t="s">
        <v>69</v>
      </c>
      <c r="B28" s="244"/>
      <c r="C28" s="139">
        <f>IF(AND(COUNT(C7)=1,C7&gt;=DATEVALUE(TEXT($B$1+2018-6,0)&amp;"/4/1")),1,0)</f>
        <v>0</v>
      </c>
      <c r="D28" s="139">
        <f>IF(AND(COUNT(D7)=1,D7&gt;=DATEVALUE(TEXT($B$1+2018-6,0)&amp;"/4/1")),1,0)</f>
        <v>0</v>
      </c>
      <c r="E28" s="139">
        <f>IF(AND(COUNT(E7)=1,E7&gt;=DATEVALUE(TEXT($B$1+2018-6,0)&amp;"/4/1")),1,0)</f>
        <v>0</v>
      </c>
      <c r="F28" s="139">
        <f>IF(AND(COUNT(F7)=1,F7&gt;=DATEVALUE(TEXT($B$1+2018-6,0)&amp;"/4/1")),1,0)</f>
        <v>0</v>
      </c>
      <c r="G28" s="139">
        <f>IF(AND(COUNT(G7)=1,G7&gt;=DATEVALUE(TEXT($B$1+2018-6,0)&amp;"/4/1")),1,0)</f>
        <v>0</v>
      </c>
      <c r="I28" s="283" t="str">
        <f>CONCATENATE(A1,B1,C1)&amp;"の未就学児軽減割合"</f>
        <v>令和8年度の未就学児軽減割合</v>
      </c>
      <c r="J28" s="284"/>
      <c r="K28" s="144">
        <f>HLOOKUP(B1,作業・変換!C55:G74,18)</f>
        <v>1</v>
      </c>
    </row>
    <row r="29" spans="1:12" ht="15" customHeight="1" thickBot="1">
      <c r="A29" s="244" t="s">
        <v>192</v>
      </c>
      <c r="B29" s="244"/>
      <c r="C29" s="139">
        <f>IF(AND(COUNT(C7)=1,C7&gt;=DATEVALUE(TEXT($B$1+2018-18,0)&amp;"/4/1")),1,0)</f>
        <v>0</v>
      </c>
      <c r="D29" s="139">
        <f t="shared" ref="D29:G29" si="6">IF(AND(COUNT(D7)=1,D7&gt;=DATEVALUE(TEXT($B$1+2018-18,0)&amp;"/4/1")),1,0)</f>
        <v>0</v>
      </c>
      <c r="E29" s="139">
        <f t="shared" si="6"/>
        <v>0</v>
      </c>
      <c r="F29" s="139">
        <f t="shared" si="6"/>
        <v>0</v>
      </c>
      <c r="G29" s="139">
        <f t="shared" si="6"/>
        <v>0</v>
      </c>
      <c r="I29" s="283" t="str">
        <f>CONCATENATE(A1,B1,C1)&amp;"の子ども支援金軽減割合"</f>
        <v>令和8年度の子ども支援金軽減割合</v>
      </c>
      <c r="J29" s="284"/>
      <c r="K29" s="144">
        <f>HLOOKUP(B1,作業・変換!C55:G74,19)</f>
        <v>1</v>
      </c>
    </row>
    <row r="30" spans="1:12" ht="15" customHeight="1">
      <c r="A30" s="244" t="s">
        <v>169</v>
      </c>
      <c r="B30" s="244"/>
      <c r="C30" s="139">
        <f>IF(AND(作業・変換!$C49-31&lt;C7,C7&lt;作業・変換!$N49),1,0)</f>
        <v>0</v>
      </c>
      <c r="D30" s="139">
        <f>IF(AND(作業・変換!$C49-31&lt;D7,D7&lt;作業・変換!$N49),1,0)</f>
        <v>0</v>
      </c>
      <c r="E30" s="139">
        <f>IF(AND(作業・変換!$C49-31&lt;E7,E7&lt;作業・変換!$N49),1,0)</f>
        <v>0</v>
      </c>
      <c r="F30" s="139">
        <f>IF(AND(作業・変換!$C49-31&lt;F7,F7&lt;作業・変換!$N49),1,0)</f>
        <v>0</v>
      </c>
      <c r="G30" s="139">
        <f>IF(AND(作業・変換!$C49-31&lt;G7,G7&lt;作業・変換!$N49),1,0)</f>
        <v>0</v>
      </c>
    </row>
    <row r="31" spans="1:12" ht="15" customHeight="1">
      <c r="A31" s="262" t="s">
        <v>67</v>
      </c>
      <c r="B31" s="262"/>
      <c r="C31" s="143">
        <f>IF(C23-C25&gt;0,C23-C25,0)</f>
        <v>0</v>
      </c>
      <c r="D31" s="143">
        <f>IF(D23-D25&gt;0,D23-D25,0)</f>
        <v>0</v>
      </c>
      <c r="E31" s="143">
        <f t="shared" ref="E31:G31" si="7">IF(E23-E25&gt;0,E23-E25,0)</f>
        <v>0</v>
      </c>
      <c r="F31" s="143">
        <f t="shared" si="7"/>
        <v>0</v>
      </c>
      <c r="G31" s="143">
        <f t="shared" si="7"/>
        <v>0</v>
      </c>
    </row>
    <row r="32" spans="1:12" ht="15" customHeight="1">
      <c r="A32" s="262" t="s">
        <v>75</v>
      </c>
      <c r="B32" s="262"/>
      <c r="C32" s="143">
        <f>IF(AND(D2="する",C22-C24&gt;0),C22-C24,0)</f>
        <v>0</v>
      </c>
      <c r="D32" s="143">
        <f>IF(D22-D24&gt;0,D22-D24,0)</f>
        <v>0</v>
      </c>
      <c r="E32" s="143">
        <f>IF(E22-E24&gt;0,E22-E24,0)</f>
        <v>0</v>
      </c>
      <c r="F32" s="143">
        <f>IF(F22-F24&gt;0,F22-F24,0)</f>
        <v>0</v>
      </c>
      <c r="G32" s="143">
        <f>IF(G22-G24&gt;0,G22-G24,0)</f>
        <v>0</v>
      </c>
      <c r="H32" s="181"/>
      <c r="I32" s="181"/>
      <c r="J32" s="181"/>
      <c r="K32" s="181"/>
    </row>
    <row r="33" spans="1:11" ht="15" customHeight="1">
      <c r="A33" s="261"/>
      <c r="B33" s="261"/>
      <c r="C33" s="145"/>
      <c r="D33" s="145"/>
      <c r="E33" s="145"/>
      <c r="F33" s="145"/>
      <c r="G33" s="145"/>
      <c r="H33" s="177"/>
      <c r="I33" s="177"/>
      <c r="J33" s="177"/>
      <c r="K33" s="177"/>
    </row>
    <row r="34" spans="1:11" ht="15" customHeight="1">
      <c r="C34" s="146"/>
      <c r="D34" s="146"/>
      <c r="E34" s="146"/>
      <c r="F34" s="146"/>
      <c r="G34" s="146"/>
      <c r="H34" s="177"/>
      <c r="I34" s="177"/>
      <c r="J34" s="177"/>
      <c r="K34" s="177"/>
    </row>
    <row r="35" spans="1:11" ht="15" customHeight="1">
      <c r="A35" s="180" t="s">
        <v>155</v>
      </c>
      <c r="B35" s="181"/>
      <c r="C35" s="181"/>
      <c r="D35" s="181"/>
      <c r="E35" s="181"/>
      <c r="F35" s="181"/>
      <c r="G35" s="181"/>
      <c r="H35" s="177"/>
      <c r="I35" s="177"/>
      <c r="J35" s="177"/>
      <c r="K35" s="177"/>
    </row>
    <row r="36" spans="1:11" ht="15" customHeight="1">
      <c r="A36" s="176" t="s">
        <v>171</v>
      </c>
      <c r="B36" s="177"/>
      <c r="C36" s="177"/>
      <c r="D36" s="177"/>
      <c r="E36" s="177"/>
      <c r="F36" s="177"/>
      <c r="G36" s="177"/>
      <c r="H36" s="177"/>
      <c r="I36" s="177"/>
      <c r="J36" s="177"/>
      <c r="K36" s="177"/>
    </row>
    <row r="37" spans="1:11" ht="15" customHeight="1">
      <c r="A37" s="176" t="s">
        <v>14</v>
      </c>
      <c r="B37" s="177"/>
      <c r="C37" s="177"/>
      <c r="D37" s="177"/>
      <c r="E37" s="177"/>
      <c r="F37" s="177"/>
      <c r="G37" s="177"/>
      <c r="H37" s="179"/>
      <c r="I37" s="179"/>
      <c r="J37" s="179"/>
      <c r="K37" s="179"/>
    </row>
    <row r="38" spans="1:11" ht="15" customHeight="1">
      <c r="A38" s="176" t="s">
        <v>153</v>
      </c>
      <c r="B38" s="177"/>
      <c r="C38" s="177"/>
      <c r="D38" s="177"/>
      <c r="E38" s="177"/>
      <c r="F38" s="177"/>
      <c r="G38" s="177"/>
      <c r="H38" s="179"/>
      <c r="I38" s="179"/>
      <c r="J38" s="179"/>
      <c r="K38" s="179"/>
    </row>
    <row r="39" spans="1:11" ht="15" customHeight="1">
      <c r="A39" s="176" t="s">
        <v>154</v>
      </c>
      <c r="B39" s="177"/>
      <c r="C39" s="177"/>
      <c r="D39" s="177"/>
      <c r="E39" s="177"/>
      <c r="F39" s="177"/>
      <c r="G39" s="177"/>
      <c r="H39" s="179"/>
      <c r="I39" s="179"/>
      <c r="J39" s="179"/>
      <c r="K39" s="179"/>
    </row>
    <row r="40" spans="1:11" ht="15" customHeight="1">
      <c r="A40" s="176" t="s">
        <v>199</v>
      </c>
      <c r="B40" s="177"/>
      <c r="C40" s="177"/>
      <c r="D40" s="177"/>
      <c r="E40" s="177"/>
      <c r="F40" s="177"/>
      <c r="G40" s="177"/>
      <c r="H40" s="179"/>
      <c r="I40" s="179"/>
      <c r="J40" s="179"/>
      <c r="K40" s="179"/>
    </row>
    <row r="41" spans="1:11" ht="15" customHeight="1">
      <c r="A41" s="178" t="s">
        <v>196</v>
      </c>
      <c r="B41" s="179"/>
      <c r="C41" s="179"/>
      <c r="D41" s="179"/>
      <c r="E41" s="179"/>
      <c r="F41" s="179"/>
      <c r="G41" s="179"/>
      <c r="H41" s="177"/>
      <c r="I41" s="177"/>
      <c r="J41" s="177"/>
      <c r="K41" s="177"/>
    </row>
    <row r="42" spans="1:11" ht="15" customHeight="1">
      <c r="A42" s="178" t="s">
        <v>198</v>
      </c>
      <c r="B42" s="179"/>
      <c r="C42" s="179"/>
      <c r="D42" s="179"/>
      <c r="E42" s="179"/>
      <c r="F42" s="179"/>
      <c r="G42" s="179"/>
      <c r="H42" s="177"/>
      <c r="I42" s="177"/>
      <c r="J42" s="177"/>
      <c r="K42" s="177"/>
    </row>
    <row r="43" spans="1:11" ht="15" customHeight="1">
      <c r="A43" s="178" t="s">
        <v>123</v>
      </c>
      <c r="B43" s="179"/>
      <c r="C43" s="179"/>
      <c r="D43" s="179"/>
      <c r="E43" s="179"/>
      <c r="F43" s="179"/>
      <c r="G43" s="179"/>
      <c r="H43" s="148"/>
    </row>
    <row r="44" spans="1:11" ht="15" customHeight="1">
      <c r="A44" s="178" t="s">
        <v>124</v>
      </c>
      <c r="B44" s="179"/>
      <c r="C44" s="179"/>
      <c r="D44" s="179"/>
      <c r="E44" s="179"/>
      <c r="F44" s="179"/>
      <c r="G44" s="179"/>
      <c r="H44" s="148"/>
    </row>
    <row r="45" spans="1:11" ht="15" customHeight="1">
      <c r="A45" s="178" t="s">
        <v>197</v>
      </c>
      <c r="B45" s="179"/>
      <c r="C45" s="179"/>
      <c r="D45" s="179"/>
      <c r="E45" s="179"/>
      <c r="F45" s="179"/>
      <c r="G45" s="179"/>
      <c r="H45" s="148"/>
    </row>
    <row r="46" spans="1:11" ht="15" customHeight="1">
      <c r="A46" s="176" t="s">
        <v>177</v>
      </c>
      <c r="B46" s="177"/>
      <c r="C46" s="177"/>
      <c r="D46" s="177"/>
      <c r="E46" s="177"/>
      <c r="F46" s="177"/>
      <c r="G46" s="177"/>
    </row>
    <row r="47" spans="1:11" ht="15" customHeight="1">
      <c r="E47" s="13"/>
      <c r="G47" s="147"/>
    </row>
    <row r="48" spans="1:11" ht="15" customHeight="1">
      <c r="E48" s="148"/>
      <c r="G48" s="147"/>
    </row>
    <row r="49" spans="4:8" ht="15" customHeight="1">
      <c r="D49" s="147"/>
      <c r="E49" s="148"/>
      <c r="H49" s="148"/>
    </row>
    <row r="50" spans="4:8" ht="15" customHeight="1">
      <c r="D50" s="147"/>
      <c r="E50" s="148"/>
    </row>
    <row r="52" spans="4:8" ht="15" customHeight="1">
      <c r="G52" s="147"/>
    </row>
    <row r="53" spans="4:8" ht="15" customHeight="1">
      <c r="G53" s="147"/>
      <c r="H53" s="148"/>
    </row>
    <row r="54" spans="4:8" ht="15" customHeight="1">
      <c r="H54" s="13"/>
    </row>
    <row r="55" spans="4:8" ht="15" customHeight="1">
      <c r="H55" s="148"/>
    </row>
    <row r="58" spans="4:8" ht="15" customHeight="1">
      <c r="D58" s="147"/>
      <c r="E58" s="148"/>
    </row>
    <row r="59" spans="4:8" ht="15" customHeight="1">
      <c r="G59" s="147"/>
    </row>
    <row r="60" spans="4:8" ht="15" customHeight="1">
      <c r="G60" s="147"/>
    </row>
  </sheetData>
  <sheetProtection algorithmName="SHA-512" hashValue="nbDpeAhG2XfKLFYQCTcpFRNlB6Yil+g2Jh8E2ClQ8ZT+52OZqntH3fec/TYcYvUD3dCxAeVmrbx0SUCDmrw2hA==" saltValue="evlkGJDCzOPdMmLSBa76ZQ==" spinCount="100000" sheet="1" objects="1" scenarios="1"/>
  <protectedRanges>
    <protectedRange sqref="D2" name="範囲1"/>
    <protectedRange sqref="C17:G17 C8:G8 C13:G13" name="範囲3"/>
    <protectedRange sqref="C9:G9" name="範囲3_2"/>
    <protectedRange sqref="C7:G7" name="範囲3_1_1_1_1"/>
  </protectedRanges>
  <mergeCells count="47">
    <mergeCell ref="H14:L14"/>
    <mergeCell ref="I21:K21"/>
    <mergeCell ref="I19:K19"/>
    <mergeCell ref="A29:B29"/>
    <mergeCell ref="I29:J29"/>
    <mergeCell ref="I28:J28"/>
    <mergeCell ref="H15:L15"/>
    <mergeCell ref="H17:L17"/>
    <mergeCell ref="A17:B17"/>
    <mergeCell ref="I26:J26"/>
    <mergeCell ref="A2:C2"/>
    <mergeCell ref="A33:B33"/>
    <mergeCell ref="A31:B31"/>
    <mergeCell ref="A27:B27"/>
    <mergeCell ref="A3:B3"/>
    <mergeCell ref="A4:B4"/>
    <mergeCell ref="A12:B12"/>
    <mergeCell ref="A16:B16"/>
    <mergeCell ref="A7:B7"/>
    <mergeCell ref="A10:B11"/>
    <mergeCell ref="A30:B30"/>
    <mergeCell ref="A32:B32"/>
    <mergeCell ref="A25:B25"/>
    <mergeCell ref="A28:B28"/>
    <mergeCell ref="A26:B26"/>
    <mergeCell ref="A14:B15"/>
    <mergeCell ref="A6:B6"/>
    <mergeCell ref="A8:B8"/>
    <mergeCell ref="A9:B9"/>
    <mergeCell ref="A24:B24"/>
    <mergeCell ref="I20:J20"/>
    <mergeCell ref="H7:L7"/>
    <mergeCell ref="H8:L8"/>
    <mergeCell ref="H10:L10"/>
    <mergeCell ref="H11:L11"/>
    <mergeCell ref="I6:K6"/>
    <mergeCell ref="I9:L9"/>
    <mergeCell ref="B20:B21"/>
    <mergeCell ref="B22:B23"/>
    <mergeCell ref="A13:B13"/>
    <mergeCell ref="A19:B19"/>
    <mergeCell ref="A18:B18"/>
    <mergeCell ref="D3:G3"/>
    <mergeCell ref="I5:K5"/>
    <mergeCell ref="I3:K3"/>
    <mergeCell ref="I4:K4"/>
    <mergeCell ref="A5:B5"/>
  </mergeCells>
  <phoneticPr fontId="3"/>
  <dataValidations xWindow="360" yWindow="252" count="5">
    <dataValidation type="list" allowBlank="1" showInputMessage="1" showErrorMessage="1" sqref="WVD983047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48 IR65543 SN65543 ACJ65543 AMF65543 AWB65543 BFX65543 BPT65543 BZP65543 CJL65543 CTH65543 DDD65543 DMZ65543 DWV65543 EGR65543 EQN65543 FAJ65543 FKF65543 FUB65543 GDX65543 GNT65543 GXP65543 HHL65543 HRH65543 IBD65543 IKZ65543 IUV65543 JER65543 JON65543 JYJ65543 KIF65543 KSB65543 LBX65543 LLT65543 LVP65543 MFL65543 MPH65543 MZD65543 NIZ65543 NSV65543 OCR65543 OMN65543 OWJ65543 PGF65543 PQB65543 PZX65543 QJT65543 QTP65543 RDL65543 RNH65543 RXD65543 SGZ65543 SQV65543 TAR65543 TKN65543 TUJ65543 UEF65543 UOB65543 UXX65543 VHT65543 VRP65543 WBL65543 WLH65543 WVD65543 A131084 IR131079 SN131079 ACJ131079 AMF131079 AWB131079 BFX131079 BPT131079 BZP131079 CJL131079 CTH131079 DDD131079 DMZ131079 DWV131079 EGR131079 EQN131079 FAJ131079 FKF131079 FUB131079 GDX131079 GNT131079 GXP131079 HHL131079 HRH131079 IBD131079 IKZ131079 IUV131079 JER131079 JON131079 JYJ131079 KIF131079 KSB131079 LBX131079 LLT131079 LVP131079 MFL131079 MPH131079 MZD131079 NIZ131079 NSV131079 OCR131079 OMN131079 OWJ131079 PGF131079 PQB131079 PZX131079 QJT131079 QTP131079 RDL131079 RNH131079 RXD131079 SGZ131079 SQV131079 TAR131079 TKN131079 TUJ131079 UEF131079 UOB131079 UXX131079 VHT131079 VRP131079 WBL131079 WLH131079 WVD131079 A196620 IR196615 SN196615 ACJ196615 AMF196615 AWB196615 BFX196615 BPT196615 BZP196615 CJL196615 CTH196615 DDD196615 DMZ196615 DWV196615 EGR196615 EQN196615 FAJ196615 FKF196615 FUB196615 GDX196615 GNT196615 GXP196615 HHL196615 HRH196615 IBD196615 IKZ196615 IUV196615 JER196615 JON196615 JYJ196615 KIF196615 KSB196615 LBX196615 LLT196615 LVP196615 MFL196615 MPH196615 MZD196615 NIZ196615 NSV196615 OCR196615 OMN196615 OWJ196615 PGF196615 PQB196615 PZX196615 QJT196615 QTP196615 RDL196615 RNH196615 RXD196615 SGZ196615 SQV196615 TAR196615 TKN196615 TUJ196615 UEF196615 UOB196615 UXX196615 VHT196615 VRP196615 WBL196615 WLH196615 WVD196615 A262156 IR262151 SN262151 ACJ262151 AMF262151 AWB262151 BFX262151 BPT262151 BZP262151 CJL262151 CTH262151 DDD262151 DMZ262151 DWV262151 EGR262151 EQN262151 FAJ262151 FKF262151 FUB262151 GDX262151 GNT262151 GXP262151 HHL262151 HRH262151 IBD262151 IKZ262151 IUV262151 JER262151 JON262151 JYJ262151 KIF262151 KSB262151 LBX262151 LLT262151 LVP262151 MFL262151 MPH262151 MZD262151 NIZ262151 NSV262151 OCR262151 OMN262151 OWJ262151 PGF262151 PQB262151 PZX262151 QJT262151 QTP262151 RDL262151 RNH262151 RXD262151 SGZ262151 SQV262151 TAR262151 TKN262151 TUJ262151 UEF262151 UOB262151 UXX262151 VHT262151 VRP262151 WBL262151 WLH262151 WVD262151 A327692 IR327687 SN327687 ACJ327687 AMF327687 AWB327687 BFX327687 BPT327687 BZP327687 CJL327687 CTH327687 DDD327687 DMZ327687 DWV327687 EGR327687 EQN327687 FAJ327687 FKF327687 FUB327687 GDX327687 GNT327687 GXP327687 HHL327687 HRH327687 IBD327687 IKZ327687 IUV327687 JER327687 JON327687 JYJ327687 KIF327687 KSB327687 LBX327687 LLT327687 LVP327687 MFL327687 MPH327687 MZD327687 NIZ327687 NSV327687 OCR327687 OMN327687 OWJ327687 PGF327687 PQB327687 PZX327687 QJT327687 QTP327687 RDL327687 RNH327687 RXD327687 SGZ327687 SQV327687 TAR327687 TKN327687 TUJ327687 UEF327687 UOB327687 UXX327687 VHT327687 VRP327687 WBL327687 WLH327687 WVD327687 A393228 IR393223 SN393223 ACJ393223 AMF393223 AWB393223 BFX393223 BPT393223 BZP393223 CJL393223 CTH393223 DDD393223 DMZ393223 DWV393223 EGR393223 EQN393223 FAJ393223 FKF393223 FUB393223 GDX393223 GNT393223 GXP393223 HHL393223 HRH393223 IBD393223 IKZ393223 IUV393223 JER393223 JON393223 JYJ393223 KIF393223 KSB393223 LBX393223 LLT393223 LVP393223 MFL393223 MPH393223 MZD393223 NIZ393223 NSV393223 OCR393223 OMN393223 OWJ393223 PGF393223 PQB393223 PZX393223 QJT393223 QTP393223 RDL393223 RNH393223 RXD393223 SGZ393223 SQV393223 TAR393223 TKN393223 TUJ393223 UEF393223 UOB393223 UXX393223 VHT393223 VRP393223 WBL393223 WLH393223 WVD393223 A458764 IR458759 SN458759 ACJ458759 AMF458759 AWB458759 BFX458759 BPT458759 BZP458759 CJL458759 CTH458759 DDD458759 DMZ458759 DWV458759 EGR458759 EQN458759 FAJ458759 FKF458759 FUB458759 GDX458759 GNT458759 GXP458759 HHL458759 HRH458759 IBD458759 IKZ458759 IUV458759 JER458759 JON458759 JYJ458759 KIF458759 KSB458759 LBX458759 LLT458759 LVP458759 MFL458759 MPH458759 MZD458759 NIZ458759 NSV458759 OCR458759 OMN458759 OWJ458759 PGF458759 PQB458759 PZX458759 QJT458759 QTP458759 RDL458759 RNH458759 RXD458759 SGZ458759 SQV458759 TAR458759 TKN458759 TUJ458759 UEF458759 UOB458759 UXX458759 VHT458759 VRP458759 WBL458759 WLH458759 WVD458759 A524300 IR524295 SN524295 ACJ524295 AMF524295 AWB524295 BFX524295 BPT524295 BZP524295 CJL524295 CTH524295 DDD524295 DMZ524295 DWV524295 EGR524295 EQN524295 FAJ524295 FKF524295 FUB524295 GDX524295 GNT524295 GXP524295 HHL524295 HRH524295 IBD524295 IKZ524295 IUV524295 JER524295 JON524295 JYJ524295 KIF524295 KSB524295 LBX524295 LLT524295 LVP524295 MFL524295 MPH524295 MZD524295 NIZ524295 NSV524295 OCR524295 OMN524295 OWJ524295 PGF524295 PQB524295 PZX524295 QJT524295 QTP524295 RDL524295 RNH524295 RXD524295 SGZ524295 SQV524295 TAR524295 TKN524295 TUJ524295 UEF524295 UOB524295 UXX524295 VHT524295 VRP524295 WBL524295 WLH524295 WVD524295 A589836 IR589831 SN589831 ACJ589831 AMF589831 AWB589831 BFX589831 BPT589831 BZP589831 CJL589831 CTH589831 DDD589831 DMZ589831 DWV589831 EGR589831 EQN589831 FAJ589831 FKF589831 FUB589831 GDX589831 GNT589831 GXP589831 HHL589831 HRH589831 IBD589831 IKZ589831 IUV589831 JER589831 JON589831 JYJ589831 KIF589831 KSB589831 LBX589831 LLT589831 LVP589831 MFL589831 MPH589831 MZD589831 NIZ589831 NSV589831 OCR589831 OMN589831 OWJ589831 PGF589831 PQB589831 PZX589831 QJT589831 QTP589831 RDL589831 RNH589831 RXD589831 SGZ589831 SQV589831 TAR589831 TKN589831 TUJ589831 UEF589831 UOB589831 UXX589831 VHT589831 VRP589831 WBL589831 WLH589831 WVD589831 A655372 IR655367 SN655367 ACJ655367 AMF655367 AWB655367 BFX655367 BPT655367 BZP655367 CJL655367 CTH655367 DDD655367 DMZ655367 DWV655367 EGR655367 EQN655367 FAJ655367 FKF655367 FUB655367 GDX655367 GNT655367 GXP655367 HHL655367 HRH655367 IBD655367 IKZ655367 IUV655367 JER655367 JON655367 JYJ655367 KIF655367 KSB655367 LBX655367 LLT655367 LVP655367 MFL655367 MPH655367 MZD655367 NIZ655367 NSV655367 OCR655367 OMN655367 OWJ655367 PGF655367 PQB655367 PZX655367 QJT655367 QTP655367 RDL655367 RNH655367 RXD655367 SGZ655367 SQV655367 TAR655367 TKN655367 TUJ655367 UEF655367 UOB655367 UXX655367 VHT655367 VRP655367 WBL655367 WLH655367 WVD655367 A720908 IR720903 SN720903 ACJ720903 AMF720903 AWB720903 BFX720903 BPT720903 BZP720903 CJL720903 CTH720903 DDD720903 DMZ720903 DWV720903 EGR720903 EQN720903 FAJ720903 FKF720903 FUB720903 GDX720903 GNT720903 GXP720903 HHL720903 HRH720903 IBD720903 IKZ720903 IUV720903 JER720903 JON720903 JYJ720903 KIF720903 KSB720903 LBX720903 LLT720903 LVP720903 MFL720903 MPH720903 MZD720903 NIZ720903 NSV720903 OCR720903 OMN720903 OWJ720903 PGF720903 PQB720903 PZX720903 QJT720903 QTP720903 RDL720903 RNH720903 RXD720903 SGZ720903 SQV720903 TAR720903 TKN720903 TUJ720903 UEF720903 UOB720903 UXX720903 VHT720903 VRP720903 WBL720903 WLH720903 WVD720903 A786444 IR786439 SN786439 ACJ786439 AMF786439 AWB786439 BFX786439 BPT786439 BZP786439 CJL786439 CTH786439 DDD786439 DMZ786439 DWV786439 EGR786439 EQN786439 FAJ786439 FKF786439 FUB786439 GDX786439 GNT786439 GXP786439 HHL786439 HRH786439 IBD786439 IKZ786439 IUV786439 JER786439 JON786439 JYJ786439 KIF786439 KSB786439 LBX786439 LLT786439 LVP786439 MFL786439 MPH786439 MZD786439 NIZ786439 NSV786439 OCR786439 OMN786439 OWJ786439 PGF786439 PQB786439 PZX786439 QJT786439 QTP786439 RDL786439 RNH786439 RXD786439 SGZ786439 SQV786439 TAR786439 TKN786439 TUJ786439 UEF786439 UOB786439 UXX786439 VHT786439 VRP786439 WBL786439 WLH786439 WVD786439 A851980 IR851975 SN851975 ACJ851975 AMF851975 AWB851975 BFX851975 BPT851975 BZP851975 CJL851975 CTH851975 DDD851975 DMZ851975 DWV851975 EGR851975 EQN851975 FAJ851975 FKF851975 FUB851975 GDX851975 GNT851975 GXP851975 HHL851975 HRH851975 IBD851975 IKZ851975 IUV851975 JER851975 JON851975 JYJ851975 KIF851975 KSB851975 LBX851975 LLT851975 LVP851975 MFL851975 MPH851975 MZD851975 NIZ851975 NSV851975 OCR851975 OMN851975 OWJ851975 PGF851975 PQB851975 PZX851975 QJT851975 QTP851975 RDL851975 RNH851975 RXD851975 SGZ851975 SQV851975 TAR851975 TKN851975 TUJ851975 UEF851975 UOB851975 UXX851975 VHT851975 VRP851975 WBL851975 WLH851975 WVD851975 A917516 IR917511 SN917511 ACJ917511 AMF917511 AWB917511 BFX917511 BPT917511 BZP917511 CJL917511 CTH917511 DDD917511 DMZ917511 DWV917511 EGR917511 EQN917511 FAJ917511 FKF917511 FUB917511 GDX917511 GNT917511 GXP917511 HHL917511 HRH917511 IBD917511 IKZ917511 IUV917511 JER917511 JON917511 JYJ917511 KIF917511 KSB917511 LBX917511 LLT917511 LVP917511 MFL917511 MPH917511 MZD917511 NIZ917511 NSV917511 OCR917511 OMN917511 OWJ917511 PGF917511 PQB917511 PZX917511 QJT917511 QTP917511 RDL917511 RNH917511 RXD917511 SGZ917511 SQV917511 TAR917511 TKN917511 TUJ917511 UEF917511 UOB917511 UXX917511 VHT917511 VRP917511 WBL917511 WLH917511 WVD917511 A983052 IR983047 SN983047 ACJ983047 AMF983047 AWB983047 BFX983047 BPT983047 BZP983047 CJL983047 CTH983047 DDD983047 DMZ983047 DWV983047 EGR983047 EQN983047 FAJ983047 FKF983047 FUB983047 GDX983047 GNT983047 GXP983047 HHL983047 HRH983047 IBD983047 IKZ983047 IUV983047 JER983047 JON983047 JYJ983047 KIF983047 KSB983047 LBX983047 LLT983047 LVP983047 MFL983047 MPH983047 MZD983047 NIZ983047 NSV983047 OCR983047 OMN983047 OWJ983047 PGF983047 PQB983047 PZX983047 QJT983047 QTP983047 RDL983047 RNH983047 RXD983047 SGZ983047 SQV983047 TAR983047 TKN983047 TUJ983047 UEF983047 UOB983047 UXX983047 VHT983047 VRP983047 WBL983047 WLH983047" xr:uid="{00000000-0002-0000-0100-000000000000}">
      <formula1>#REF!</formula1>
    </dataValidation>
    <dataValidation type="list" imeMode="disabled" allowBlank="1" showInputMessage="1" showErrorMessage="1" errorTitle="入力エラー" error="「する」か「しない」で入力してください。" promptTitle="世帯主は国保に加入しますか？" sqref="D2" xr:uid="{00000000-0002-0000-0100-000001000000}">
      <formula1>"する,しない"</formula1>
    </dataValidation>
    <dataValidation type="list" showInputMessage="1" showErrorMessage="1" sqref="IT65554 WVH983058 WLL983058 WBP983058 VRT983058 VHX983058 UYB983058 UOF983058 UEJ983058 TUN983058 TKR983058 TAV983058 SQZ983058 SHD983058 RXH983058 RNL983058 RDP983058 QTT983058 QJX983058 QAB983058 PQF983058 PGJ983058 OWN983058 OMR983058 OCV983058 NSZ983058 NJD983058 MZH983058 MPL983058 MFP983058 LVT983058 LLX983058 LCB983058 KSF983058 KIJ983058 JYN983058 JOR983058 JEV983058 IUZ983058 ILD983058 IBH983058 HRL983058 HHP983058 GXT983058 GNX983058 GEB983058 FUF983058 FKJ983058 FAN983058 EQR983058 EGV983058 DWZ983058 DND983058 DDH983058 CTL983058 CJP983058 BZT983058 BPX983058 BGB983058 AWF983058 AMJ983058 ACN983058 SR983058 IV983058 C983063:G983063 WVH917522 WLL917522 WBP917522 VRT917522 VHX917522 UYB917522 UOF917522 UEJ917522 TUN917522 TKR917522 TAV917522 SQZ917522 SHD917522 RXH917522 RNL917522 RDP917522 QTT917522 QJX917522 QAB917522 PQF917522 PGJ917522 OWN917522 OMR917522 OCV917522 NSZ917522 NJD917522 MZH917522 MPL917522 MFP917522 LVT917522 LLX917522 LCB917522 KSF917522 KIJ917522 JYN917522 JOR917522 JEV917522 IUZ917522 ILD917522 IBH917522 HRL917522 HHP917522 GXT917522 GNX917522 GEB917522 FUF917522 FKJ917522 FAN917522 EQR917522 EGV917522 DWZ917522 DND917522 DDH917522 CTL917522 CJP917522 BZT917522 BPX917522 BGB917522 AWF917522 AMJ917522 ACN917522 SR917522 IV917522 C917527:G917527 WVH851986 WLL851986 WBP851986 VRT851986 VHX851986 UYB851986 UOF851986 UEJ851986 TUN851986 TKR851986 TAV851986 SQZ851986 SHD851986 RXH851986 RNL851986 RDP851986 QTT851986 QJX851986 QAB851986 PQF851986 PGJ851986 OWN851986 OMR851986 OCV851986 NSZ851986 NJD851986 MZH851986 MPL851986 MFP851986 LVT851986 LLX851986 LCB851986 KSF851986 KIJ851986 JYN851986 JOR851986 JEV851986 IUZ851986 ILD851986 IBH851986 HRL851986 HHP851986 GXT851986 GNX851986 GEB851986 FUF851986 FKJ851986 FAN851986 EQR851986 EGV851986 DWZ851986 DND851986 DDH851986 CTL851986 CJP851986 BZT851986 BPX851986 BGB851986 AWF851986 AMJ851986 ACN851986 SR851986 IV851986 C851991:G851991 WVH786450 WLL786450 WBP786450 VRT786450 VHX786450 UYB786450 UOF786450 UEJ786450 TUN786450 TKR786450 TAV786450 SQZ786450 SHD786450 RXH786450 RNL786450 RDP786450 QTT786450 QJX786450 QAB786450 PQF786450 PGJ786450 OWN786450 OMR786450 OCV786450 NSZ786450 NJD786450 MZH786450 MPL786450 MFP786450 LVT786450 LLX786450 LCB786450 KSF786450 KIJ786450 JYN786450 JOR786450 JEV786450 IUZ786450 ILD786450 IBH786450 HRL786450 HHP786450 GXT786450 GNX786450 GEB786450 FUF786450 FKJ786450 FAN786450 EQR786450 EGV786450 DWZ786450 DND786450 DDH786450 CTL786450 CJP786450 BZT786450 BPX786450 BGB786450 AWF786450 AMJ786450 ACN786450 SR786450 IV786450 C786455:G786455 WVH720914 WLL720914 WBP720914 VRT720914 VHX720914 UYB720914 UOF720914 UEJ720914 TUN720914 TKR720914 TAV720914 SQZ720914 SHD720914 RXH720914 RNL720914 RDP720914 QTT720914 QJX720914 QAB720914 PQF720914 PGJ720914 OWN720914 OMR720914 OCV720914 NSZ720914 NJD720914 MZH720914 MPL720914 MFP720914 LVT720914 LLX720914 LCB720914 KSF720914 KIJ720914 JYN720914 JOR720914 JEV720914 IUZ720914 ILD720914 IBH720914 HRL720914 HHP720914 GXT720914 GNX720914 GEB720914 FUF720914 FKJ720914 FAN720914 EQR720914 EGV720914 DWZ720914 DND720914 DDH720914 CTL720914 CJP720914 BZT720914 BPX720914 BGB720914 AWF720914 AMJ720914 ACN720914 SR720914 IV720914 C720919:G720919 WVH655378 WLL655378 WBP655378 VRT655378 VHX655378 UYB655378 UOF655378 UEJ655378 TUN655378 TKR655378 TAV655378 SQZ655378 SHD655378 RXH655378 RNL655378 RDP655378 QTT655378 QJX655378 QAB655378 PQF655378 PGJ655378 OWN655378 OMR655378 OCV655378 NSZ655378 NJD655378 MZH655378 MPL655378 MFP655378 LVT655378 LLX655378 LCB655378 KSF655378 KIJ655378 JYN655378 JOR655378 JEV655378 IUZ655378 ILD655378 IBH655378 HRL655378 HHP655378 GXT655378 GNX655378 GEB655378 FUF655378 FKJ655378 FAN655378 EQR655378 EGV655378 DWZ655378 DND655378 DDH655378 CTL655378 CJP655378 BZT655378 BPX655378 BGB655378 AWF655378 AMJ655378 ACN655378 SR655378 IV655378 C655383:G655383 WVH589842 WLL589842 WBP589842 VRT589842 VHX589842 UYB589842 UOF589842 UEJ589842 TUN589842 TKR589842 TAV589842 SQZ589842 SHD589842 RXH589842 RNL589842 RDP589842 QTT589842 QJX589842 QAB589842 PQF589842 PGJ589842 OWN589842 OMR589842 OCV589842 NSZ589842 NJD589842 MZH589842 MPL589842 MFP589842 LVT589842 LLX589842 LCB589842 KSF589842 KIJ589842 JYN589842 JOR589842 JEV589842 IUZ589842 ILD589842 IBH589842 HRL589842 HHP589842 GXT589842 GNX589842 GEB589842 FUF589842 FKJ589842 FAN589842 EQR589842 EGV589842 DWZ589842 DND589842 DDH589842 CTL589842 CJP589842 BZT589842 BPX589842 BGB589842 AWF589842 AMJ589842 ACN589842 SR589842 IV589842 C589847:G589847 WVH524306 WLL524306 WBP524306 VRT524306 VHX524306 UYB524306 UOF524306 UEJ524306 TUN524306 TKR524306 TAV524306 SQZ524306 SHD524306 RXH524306 RNL524306 RDP524306 QTT524306 QJX524306 QAB524306 PQF524306 PGJ524306 OWN524306 OMR524306 OCV524306 NSZ524306 NJD524306 MZH524306 MPL524306 MFP524306 LVT524306 LLX524306 LCB524306 KSF524306 KIJ524306 JYN524306 JOR524306 JEV524306 IUZ524306 ILD524306 IBH524306 HRL524306 HHP524306 GXT524306 GNX524306 GEB524306 FUF524306 FKJ524306 FAN524306 EQR524306 EGV524306 DWZ524306 DND524306 DDH524306 CTL524306 CJP524306 BZT524306 BPX524306 BGB524306 AWF524306 AMJ524306 ACN524306 SR524306 IV524306 C524311:G524311 WVH458770 WLL458770 WBP458770 VRT458770 VHX458770 UYB458770 UOF458770 UEJ458770 TUN458770 TKR458770 TAV458770 SQZ458770 SHD458770 RXH458770 RNL458770 RDP458770 QTT458770 QJX458770 QAB458770 PQF458770 PGJ458770 OWN458770 OMR458770 OCV458770 NSZ458770 NJD458770 MZH458770 MPL458770 MFP458770 LVT458770 LLX458770 LCB458770 KSF458770 KIJ458770 JYN458770 JOR458770 JEV458770 IUZ458770 ILD458770 IBH458770 HRL458770 HHP458770 GXT458770 GNX458770 GEB458770 FUF458770 FKJ458770 FAN458770 EQR458770 EGV458770 DWZ458770 DND458770 DDH458770 CTL458770 CJP458770 BZT458770 BPX458770 BGB458770 AWF458770 AMJ458770 ACN458770 SR458770 IV458770 C458775:G458775 WVH393234 WLL393234 WBP393234 VRT393234 VHX393234 UYB393234 UOF393234 UEJ393234 TUN393234 TKR393234 TAV393234 SQZ393234 SHD393234 RXH393234 RNL393234 RDP393234 QTT393234 QJX393234 QAB393234 PQF393234 PGJ393234 OWN393234 OMR393234 OCV393234 NSZ393234 NJD393234 MZH393234 MPL393234 MFP393234 LVT393234 LLX393234 LCB393234 KSF393234 KIJ393234 JYN393234 JOR393234 JEV393234 IUZ393234 ILD393234 IBH393234 HRL393234 HHP393234 GXT393234 GNX393234 GEB393234 FUF393234 FKJ393234 FAN393234 EQR393234 EGV393234 DWZ393234 DND393234 DDH393234 CTL393234 CJP393234 BZT393234 BPX393234 BGB393234 AWF393234 AMJ393234 ACN393234 SR393234 IV393234 C393239:G393239 WVH327698 WLL327698 WBP327698 VRT327698 VHX327698 UYB327698 UOF327698 UEJ327698 TUN327698 TKR327698 TAV327698 SQZ327698 SHD327698 RXH327698 RNL327698 RDP327698 QTT327698 QJX327698 QAB327698 PQF327698 PGJ327698 OWN327698 OMR327698 OCV327698 NSZ327698 NJD327698 MZH327698 MPL327698 MFP327698 LVT327698 LLX327698 LCB327698 KSF327698 KIJ327698 JYN327698 JOR327698 JEV327698 IUZ327698 ILD327698 IBH327698 HRL327698 HHP327698 GXT327698 GNX327698 GEB327698 FUF327698 FKJ327698 FAN327698 EQR327698 EGV327698 DWZ327698 DND327698 DDH327698 CTL327698 CJP327698 BZT327698 BPX327698 BGB327698 AWF327698 AMJ327698 ACN327698 SR327698 IV327698 C327703:G327703 WVH262162 WLL262162 WBP262162 VRT262162 VHX262162 UYB262162 UOF262162 UEJ262162 TUN262162 TKR262162 TAV262162 SQZ262162 SHD262162 RXH262162 RNL262162 RDP262162 QTT262162 QJX262162 QAB262162 PQF262162 PGJ262162 OWN262162 OMR262162 OCV262162 NSZ262162 NJD262162 MZH262162 MPL262162 MFP262162 LVT262162 LLX262162 LCB262162 KSF262162 KIJ262162 JYN262162 JOR262162 JEV262162 IUZ262162 ILD262162 IBH262162 HRL262162 HHP262162 GXT262162 GNX262162 GEB262162 FUF262162 FKJ262162 FAN262162 EQR262162 EGV262162 DWZ262162 DND262162 DDH262162 CTL262162 CJP262162 BZT262162 BPX262162 BGB262162 AWF262162 AMJ262162 ACN262162 SR262162 IV262162 C262167:G262167 WVH196626 WLL196626 WBP196626 VRT196626 VHX196626 UYB196626 UOF196626 UEJ196626 TUN196626 TKR196626 TAV196626 SQZ196626 SHD196626 RXH196626 RNL196626 RDP196626 QTT196626 QJX196626 QAB196626 PQF196626 PGJ196626 OWN196626 OMR196626 OCV196626 NSZ196626 NJD196626 MZH196626 MPL196626 MFP196626 LVT196626 LLX196626 LCB196626 KSF196626 KIJ196626 JYN196626 JOR196626 JEV196626 IUZ196626 ILD196626 IBH196626 HRL196626 HHP196626 GXT196626 GNX196626 GEB196626 FUF196626 FKJ196626 FAN196626 EQR196626 EGV196626 DWZ196626 DND196626 DDH196626 CTL196626 CJP196626 BZT196626 BPX196626 BGB196626 AWF196626 AMJ196626 ACN196626 SR196626 IV196626 C196631:G196631 WVH131090 WLL131090 WBP131090 VRT131090 VHX131090 UYB131090 UOF131090 UEJ131090 TUN131090 TKR131090 TAV131090 SQZ131090 SHD131090 RXH131090 RNL131090 RDP131090 QTT131090 QJX131090 QAB131090 PQF131090 PGJ131090 OWN131090 OMR131090 OCV131090 NSZ131090 NJD131090 MZH131090 MPL131090 MFP131090 LVT131090 LLX131090 LCB131090 KSF131090 KIJ131090 JYN131090 JOR131090 JEV131090 IUZ131090 ILD131090 IBH131090 HRL131090 HHP131090 GXT131090 GNX131090 GEB131090 FUF131090 FKJ131090 FAN131090 EQR131090 EGV131090 DWZ131090 DND131090 DDH131090 CTL131090 CJP131090 BZT131090 BPX131090 BGB131090 AWF131090 AMJ131090 ACN131090 SR131090 IV131090 C131095:G131095 WVH65554 WLL65554 WBP65554 VRT65554 VHX65554 UYB65554 UOF65554 UEJ65554 TUN65554 TKR65554 TAV65554 SQZ65554 SHD65554 RXH65554 RNL65554 RDP65554 QTT65554 QJX65554 QAB65554 PQF65554 PGJ65554 OWN65554 OMR65554 OCV65554 NSZ65554 NJD65554 MZH65554 MPL65554 MFP65554 LVT65554 LLX65554 LCB65554 KSF65554 KIJ65554 JYN65554 JOR65554 JEV65554 IUZ65554 ILD65554 IBH65554 HRL65554 HHP65554 GXT65554 GNX65554 GEB65554 FUF65554 FKJ65554 FAN65554 EQR65554 EGV65554 DWZ65554 DND65554 DDH65554 CTL65554 CJP65554 BZT65554 BPX65554 BGB65554 AWF65554 AMJ65554 ACN65554 SR65554 IV65554 C65559:G65559 WVH7 WLL7 WBP7 VRT7 VHX7 UYB7 UOF7 UEJ7 TUN7 TKR7 TAV7 SQZ7 SHD7 RXH7 RNL7 RDP7 QTT7 QJX7 QAB7 PQF7 PGJ7 OWN7 OMR7 OCV7 NSZ7 NJD7 MZH7 MPL7 MFP7 LVT7 LLX7 LCB7 KSF7 KIJ7 JYN7 JOR7 JEV7 IUZ7 ILD7 IBH7 HRL7 HHP7 GXT7 GNX7 GEB7 FUF7 FKJ7 FAN7 EQR7 EGV7 DWZ7 DND7 DDH7 CTL7 CJP7 BZT7 BPX7 BGB7 AWF7 AMJ7 ACN7 SR7 IV7 AMH7 WVJ983058 WLN983058 WBR983058 VRV983058 VHZ983058 UYD983058 UOH983058 UEL983058 TUP983058 TKT983058 TAX983058 SRB983058 SHF983058 RXJ983058 RNN983058 RDR983058 QTV983058 QJZ983058 QAD983058 PQH983058 PGL983058 OWP983058 OMT983058 OCX983058 NTB983058 NJF983058 MZJ983058 MPN983058 MFR983058 LVV983058 LLZ983058 LCD983058 KSH983058 KIL983058 JYP983058 JOT983058 JEX983058 IVB983058 ILF983058 IBJ983058 HRN983058 HHR983058 GXV983058 GNZ983058 GED983058 FUH983058 FKL983058 FAP983058 EQT983058 EGX983058 DXB983058 DNF983058 DDJ983058 CTN983058 CJR983058 BZV983058 BPZ983058 BGD983058 AWH983058 AML983058 ACP983058 ST983058 IX983058 WVJ917522 WLN917522 WBR917522 VRV917522 VHZ917522 UYD917522 UOH917522 UEL917522 TUP917522 TKT917522 TAX917522 SRB917522 SHF917522 RXJ917522 RNN917522 RDR917522 QTV917522 QJZ917522 QAD917522 PQH917522 PGL917522 OWP917522 OMT917522 OCX917522 NTB917522 NJF917522 MZJ917522 MPN917522 MFR917522 LVV917522 LLZ917522 LCD917522 KSH917522 KIL917522 JYP917522 JOT917522 JEX917522 IVB917522 ILF917522 IBJ917522 HRN917522 HHR917522 GXV917522 GNZ917522 GED917522 FUH917522 FKL917522 FAP917522 EQT917522 EGX917522 DXB917522 DNF917522 DDJ917522 CTN917522 CJR917522 BZV917522 BPZ917522 BGD917522 AWH917522 AML917522 ACP917522 ST917522 IX917522 WVJ851986 WLN851986 WBR851986 VRV851986 VHZ851986 UYD851986 UOH851986 UEL851986 TUP851986 TKT851986 TAX851986 SRB851986 SHF851986 RXJ851986 RNN851986 RDR851986 QTV851986 QJZ851986 QAD851986 PQH851986 PGL851986 OWP851986 OMT851986 OCX851986 NTB851986 NJF851986 MZJ851986 MPN851986 MFR851986 LVV851986 LLZ851986 LCD851986 KSH851986 KIL851986 JYP851986 JOT851986 JEX851986 IVB851986 ILF851986 IBJ851986 HRN851986 HHR851986 GXV851986 GNZ851986 GED851986 FUH851986 FKL851986 FAP851986 EQT851986 EGX851986 DXB851986 DNF851986 DDJ851986 CTN851986 CJR851986 BZV851986 BPZ851986 BGD851986 AWH851986 AML851986 ACP851986 ST851986 IX851986 WVJ786450 WLN786450 WBR786450 VRV786450 VHZ786450 UYD786450 UOH786450 UEL786450 TUP786450 TKT786450 TAX786450 SRB786450 SHF786450 RXJ786450 RNN786450 RDR786450 QTV786450 QJZ786450 QAD786450 PQH786450 PGL786450 OWP786450 OMT786450 OCX786450 NTB786450 NJF786450 MZJ786450 MPN786450 MFR786450 LVV786450 LLZ786450 LCD786450 KSH786450 KIL786450 JYP786450 JOT786450 JEX786450 IVB786450 ILF786450 IBJ786450 HRN786450 HHR786450 GXV786450 GNZ786450 GED786450 FUH786450 FKL786450 FAP786450 EQT786450 EGX786450 DXB786450 DNF786450 DDJ786450 CTN786450 CJR786450 BZV786450 BPZ786450 BGD786450 AWH786450 AML786450 ACP786450 ST786450 IX786450 WVJ720914 WLN720914 WBR720914 VRV720914 VHZ720914 UYD720914 UOH720914 UEL720914 TUP720914 TKT720914 TAX720914 SRB720914 SHF720914 RXJ720914 RNN720914 RDR720914 QTV720914 QJZ720914 QAD720914 PQH720914 PGL720914 OWP720914 OMT720914 OCX720914 NTB720914 NJF720914 MZJ720914 MPN720914 MFR720914 LVV720914 LLZ720914 LCD720914 KSH720914 KIL720914 JYP720914 JOT720914 JEX720914 IVB720914 ILF720914 IBJ720914 HRN720914 HHR720914 GXV720914 GNZ720914 GED720914 FUH720914 FKL720914 FAP720914 EQT720914 EGX720914 DXB720914 DNF720914 DDJ720914 CTN720914 CJR720914 BZV720914 BPZ720914 BGD720914 AWH720914 AML720914 ACP720914 ST720914 IX720914 WVJ655378 WLN655378 WBR655378 VRV655378 VHZ655378 UYD655378 UOH655378 UEL655378 TUP655378 TKT655378 TAX655378 SRB655378 SHF655378 RXJ655378 RNN655378 RDR655378 QTV655378 QJZ655378 QAD655378 PQH655378 PGL655378 OWP655378 OMT655378 OCX655378 NTB655378 NJF655378 MZJ655378 MPN655378 MFR655378 LVV655378 LLZ655378 LCD655378 KSH655378 KIL655378 JYP655378 JOT655378 JEX655378 IVB655378 ILF655378 IBJ655378 HRN655378 HHR655378 GXV655378 GNZ655378 GED655378 FUH655378 FKL655378 FAP655378 EQT655378 EGX655378 DXB655378 DNF655378 DDJ655378 CTN655378 CJR655378 BZV655378 BPZ655378 BGD655378 AWH655378 AML655378 ACP655378 ST655378 IX655378 WVJ589842 WLN589842 WBR589842 VRV589842 VHZ589842 UYD589842 UOH589842 UEL589842 TUP589842 TKT589842 TAX589842 SRB589842 SHF589842 RXJ589842 RNN589842 RDR589842 QTV589842 QJZ589842 QAD589842 PQH589842 PGL589842 OWP589842 OMT589842 OCX589842 NTB589842 NJF589842 MZJ589842 MPN589842 MFR589842 LVV589842 LLZ589842 LCD589842 KSH589842 KIL589842 JYP589842 JOT589842 JEX589842 IVB589842 ILF589842 IBJ589842 HRN589842 HHR589842 GXV589842 GNZ589842 GED589842 FUH589842 FKL589842 FAP589842 EQT589842 EGX589842 DXB589842 DNF589842 DDJ589842 CTN589842 CJR589842 BZV589842 BPZ589842 BGD589842 AWH589842 AML589842 ACP589842 ST589842 IX589842 WVJ524306 WLN524306 WBR524306 VRV524306 VHZ524306 UYD524306 UOH524306 UEL524306 TUP524306 TKT524306 TAX524306 SRB524306 SHF524306 RXJ524306 RNN524306 RDR524306 QTV524306 QJZ524306 QAD524306 PQH524306 PGL524306 OWP524306 OMT524306 OCX524306 NTB524306 NJF524306 MZJ524306 MPN524306 MFR524306 LVV524306 LLZ524306 LCD524306 KSH524306 KIL524306 JYP524306 JOT524306 JEX524306 IVB524306 ILF524306 IBJ524306 HRN524306 HHR524306 GXV524306 GNZ524306 GED524306 FUH524306 FKL524306 FAP524306 EQT524306 EGX524306 DXB524306 DNF524306 DDJ524306 CTN524306 CJR524306 BZV524306 BPZ524306 BGD524306 AWH524306 AML524306 ACP524306 ST524306 IX524306 WVJ458770 WLN458770 WBR458770 VRV458770 VHZ458770 UYD458770 UOH458770 UEL458770 TUP458770 TKT458770 TAX458770 SRB458770 SHF458770 RXJ458770 RNN458770 RDR458770 QTV458770 QJZ458770 QAD458770 PQH458770 PGL458770 OWP458770 OMT458770 OCX458770 NTB458770 NJF458770 MZJ458770 MPN458770 MFR458770 LVV458770 LLZ458770 LCD458770 KSH458770 KIL458770 JYP458770 JOT458770 JEX458770 IVB458770 ILF458770 IBJ458770 HRN458770 HHR458770 GXV458770 GNZ458770 GED458770 FUH458770 FKL458770 FAP458770 EQT458770 EGX458770 DXB458770 DNF458770 DDJ458770 CTN458770 CJR458770 BZV458770 BPZ458770 BGD458770 AWH458770 AML458770 ACP458770 ST458770 IX458770 WVJ393234 WLN393234 WBR393234 VRV393234 VHZ393234 UYD393234 UOH393234 UEL393234 TUP393234 TKT393234 TAX393234 SRB393234 SHF393234 RXJ393234 RNN393234 RDR393234 QTV393234 QJZ393234 QAD393234 PQH393234 PGL393234 OWP393234 OMT393234 OCX393234 NTB393234 NJF393234 MZJ393234 MPN393234 MFR393234 LVV393234 LLZ393234 LCD393234 KSH393234 KIL393234 JYP393234 JOT393234 JEX393234 IVB393234 ILF393234 IBJ393234 HRN393234 HHR393234 GXV393234 GNZ393234 GED393234 FUH393234 FKL393234 FAP393234 EQT393234 EGX393234 DXB393234 DNF393234 DDJ393234 CTN393234 CJR393234 BZV393234 BPZ393234 BGD393234 AWH393234 AML393234 ACP393234 ST393234 IX393234 WVJ327698 WLN327698 WBR327698 VRV327698 VHZ327698 UYD327698 UOH327698 UEL327698 TUP327698 TKT327698 TAX327698 SRB327698 SHF327698 RXJ327698 RNN327698 RDR327698 QTV327698 QJZ327698 QAD327698 PQH327698 PGL327698 OWP327698 OMT327698 OCX327698 NTB327698 NJF327698 MZJ327698 MPN327698 MFR327698 LVV327698 LLZ327698 LCD327698 KSH327698 KIL327698 JYP327698 JOT327698 JEX327698 IVB327698 ILF327698 IBJ327698 HRN327698 HHR327698 GXV327698 GNZ327698 GED327698 FUH327698 FKL327698 FAP327698 EQT327698 EGX327698 DXB327698 DNF327698 DDJ327698 CTN327698 CJR327698 BZV327698 BPZ327698 BGD327698 AWH327698 AML327698 ACP327698 ST327698 IX327698 WVJ262162 WLN262162 WBR262162 VRV262162 VHZ262162 UYD262162 UOH262162 UEL262162 TUP262162 TKT262162 TAX262162 SRB262162 SHF262162 RXJ262162 RNN262162 RDR262162 QTV262162 QJZ262162 QAD262162 PQH262162 PGL262162 OWP262162 OMT262162 OCX262162 NTB262162 NJF262162 MZJ262162 MPN262162 MFR262162 LVV262162 LLZ262162 LCD262162 KSH262162 KIL262162 JYP262162 JOT262162 JEX262162 IVB262162 ILF262162 IBJ262162 HRN262162 HHR262162 GXV262162 GNZ262162 GED262162 FUH262162 FKL262162 FAP262162 EQT262162 EGX262162 DXB262162 DNF262162 DDJ262162 CTN262162 CJR262162 BZV262162 BPZ262162 BGD262162 AWH262162 AML262162 ACP262162 ST262162 IX262162 WVJ196626 WLN196626 WBR196626 VRV196626 VHZ196626 UYD196626 UOH196626 UEL196626 TUP196626 TKT196626 TAX196626 SRB196626 SHF196626 RXJ196626 RNN196626 RDR196626 QTV196626 QJZ196626 QAD196626 PQH196626 PGL196626 OWP196626 OMT196626 OCX196626 NTB196626 NJF196626 MZJ196626 MPN196626 MFR196626 LVV196626 LLZ196626 LCD196626 KSH196626 KIL196626 JYP196626 JOT196626 JEX196626 IVB196626 ILF196626 IBJ196626 HRN196626 HHR196626 GXV196626 GNZ196626 GED196626 FUH196626 FKL196626 FAP196626 EQT196626 EGX196626 DXB196626 DNF196626 DDJ196626 CTN196626 CJR196626 BZV196626 BPZ196626 BGD196626 AWH196626 AML196626 ACP196626 ST196626 IX196626 WVJ131090 WLN131090 WBR131090 VRV131090 VHZ131090 UYD131090 UOH131090 UEL131090 TUP131090 TKT131090 TAX131090 SRB131090 SHF131090 RXJ131090 RNN131090 RDR131090 QTV131090 QJZ131090 QAD131090 PQH131090 PGL131090 OWP131090 OMT131090 OCX131090 NTB131090 NJF131090 MZJ131090 MPN131090 MFR131090 LVV131090 LLZ131090 LCD131090 KSH131090 KIL131090 JYP131090 JOT131090 JEX131090 IVB131090 ILF131090 IBJ131090 HRN131090 HHR131090 GXV131090 GNZ131090 GED131090 FUH131090 FKL131090 FAP131090 EQT131090 EGX131090 DXB131090 DNF131090 DDJ131090 CTN131090 CJR131090 BZV131090 BPZ131090 BGD131090 AWH131090 AML131090 ACP131090 ST131090 IX131090 WVJ65554 WLN65554 WBR65554 VRV65554 VHZ65554 UYD65554 UOH65554 UEL65554 TUP65554 TKT65554 TAX65554 SRB65554 SHF65554 RXJ65554 RNN65554 RDR65554 QTV65554 QJZ65554 QAD65554 PQH65554 PGL65554 OWP65554 OMT65554 OCX65554 NTB65554 NJF65554 MZJ65554 MPN65554 MFR65554 LVV65554 LLZ65554 LCD65554 KSH65554 KIL65554 JYP65554 JOT65554 JEX65554 IVB65554 ILF65554 IBJ65554 HRN65554 HHR65554 GXV65554 GNZ65554 GED65554 FUH65554 FKL65554 FAP65554 EQT65554 EGX65554 DXB65554 DNF65554 DDJ65554 CTN65554 CJR65554 BZV65554 BPZ65554 BGD65554 AWH65554 AML65554 ACP65554 ST65554 IX65554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ACL7 WVL983058 WLP983058 WBT983058 VRX983058 VIB983058 UYF983058 UOJ983058 UEN983058 TUR983058 TKV983058 TAZ983058 SRD983058 SHH983058 RXL983058 RNP983058 RDT983058 QTX983058 QKB983058 QAF983058 PQJ983058 PGN983058 OWR983058 OMV983058 OCZ983058 NTD983058 NJH983058 MZL983058 MPP983058 MFT983058 LVX983058 LMB983058 LCF983058 KSJ983058 KIN983058 JYR983058 JOV983058 JEZ983058 IVD983058 ILH983058 IBL983058 HRP983058 HHT983058 GXX983058 GOB983058 GEF983058 FUJ983058 FKN983058 FAR983058 EQV983058 EGZ983058 DXD983058 DNH983058 DDL983058 CTP983058 CJT983058 BZX983058 BQB983058 BGF983058 AWJ983058 AMN983058 ACR983058 SV983058 IZ983058 WVL917522 WLP917522 WBT917522 VRX917522 VIB917522 UYF917522 UOJ917522 UEN917522 TUR917522 TKV917522 TAZ917522 SRD917522 SHH917522 RXL917522 RNP917522 RDT917522 QTX917522 QKB917522 QAF917522 PQJ917522 PGN917522 OWR917522 OMV917522 OCZ917522 NTD917522 NJH917522 MZL917522 MPP917522 MFT917522 LVX917522 LMB917522 LCF917522 KSJ917522 KIN917522 JYR917522 JOV917522 JEZ917522 IVD917522 ILH917522 IBL917522 HRP917522 HHT917522 GXX917522 GOB917522 GEF917522 FUJ917522 FKN917522 FAR917522 EQV917522 EGZ917522 DXD917522 DNH917522 DDL917522 CTP917522 CJT917522 BZX917522 BQB917522 BGF917522 AWJ917522 AMN917522 ACR917522 SV917522 IZ917522 WVL851986 WLP851986 WBT851986 VRX851986 VIB851986 UYF851986 UOJ851986 UEN851986 TUR851986 TKV851986 TAZ851986 SRD851986 SHH851986 RXL851986 RNP851986 RDT851986 QTX851986 QKB851986 QAF851986 PQJ851986 PGN851986 OWR851986 OMV851986 OCZ851986 NTD851986 NJH851986 MZL851986 MPP851986 MFT851986 LVX851986 LMB851986 LCF851986 KSJ851986 KIN851986 JYR851986 JOV851986 JEZ851986 IVD851986 ILH851986 IBL851986 HRP851986 HHT851986 GXX851986 GOB851986 GEF851986 FUJ851986 FKN851986 FAR851986 EQV851986 EGZ851986 DXD851986 DNH851986 DDL851986 CTP851986 CJT851986 BZX851986 BQB851986 BGF851986 AWJ851986 AMN851986 ACR851986 SV851986 IZ851986 WVL786450 WLP786450 WBT786450 VRX786450 VIB786450 UYF786450 UOJ786450 UEN786450 TUR786450 TKV786450 TAZ786450 SRD786450 SHH786450 RXL786450 RNP786450 RDT786450 QTX786450 QKB786450 QAF786450 PQJ786450 PGN786450 OWR786450 OMV786450 OCZ786450 NTD786450 NJH786450 MZL786450 MPP786450 MFT786450 LVX786450 LMB786450 LCF786450 KSJ786450 KIN786450 JYR786450 JOV786450 JEZ786450 IVD786450 ILH786450 IBL786450 HRP786450 HHT786450 GXX786450 GOB786450 GEF786450 FUJ786450 FKN786450 FAR786450 EQV786450 EGZ786450 DXD786450 DNH786450 DDL786450 CTP786450 CJT786450 BZX786450 BQB786450 BGF786450 AWJ786450 AMN786450 ACR786450 SV786450 IZ786450 WVL720914 WLP720914 WBT720914 VRX720914 VIB720914 UYF720914 UOJ720914 UEN720914 TUR720914 TKV720914 TAZ720914 SRD720914 SHH720914 RXL720914 RNP720914 RDT720914 QTX720914 QKB720914 QAF720914 PQJ720914 PGN720914 OWR720914 OMV720914 OCZ720914 NTD720914 NJH720914 MZL720914 MPP720914 MFT720914 LVX720914 LMB720914 LCF720914 KSJ720914 KIN720914 JYR720914 JOV720914 JEZ720914 IVD720914 ILH720914 IBL720914 HRP720914 HHT720914 GXX720914 GOB720914 GEF720914 FUJ720914 FKN720914 FAR720914 EQV720914 EGZ720914 DXD720914 DNH720914 DDL720914 CTP720914 CJT720914 BZX720914 BQB720914 BGF720914 AWJ720914 AMN720914 ACR720914 SV720914 IZ720914 WVL655378 WLP655378 WBT655378 VRX655378 VIB655378 UYF655378 UOJ655378 UEN655378 TUR655378 TKV655378 TAZ655378 SRD655378 SHH655378 RXL655378 RNP655378 RDT655378 QTX655378 QKB655378 QAF655378 PQJ655378 PGN655378 OWR655378 OMV655378 OCZ655378 NTD655378 NJH655378 MZL655378 MPP655378 MFT655378 LVX655378 LMB655378 LCF655378 KSJ655378 KIN655378 JYR655378 JOV655378 JEZ655378 IVD655378 ILH655378 IBL655378 HRP655378 HHT655378 GXX655378 GOB655378 GEF655378 FUJ655378 FKN655378 FAR655378 EQV655378 EGZ655378 DXD655378 DNH655378 DDL655378 CTP655378 CJT655378 BZX655378 BQB655378 BGF655378 AWJ655378 AMN655378 ACR655378 SV655378 IZ655378 WVL589842 WLP589842 WBT589842 VRX589842 VIB589842 UYF589842 UOJ589842 UEN589842 TUR589842 TKV589842 TAZ589842 SRD589842 SHH589842 RXL589842 RNP589842 RDT589842 QTX589842 QKB589842 QAF589842 PQJ589842 PGN589842 OWR589842 OMV589842 OCZ589842 NTD589842 NJH589842 MZL589842 MPP589842 MFT589842 LVX589842 LMB589842 LCF589842 KSJ589842 KIN589842 JYR589842 JOV589842 JEZ589842 IVD589842 ILH589842 IBL589842 HRP589842 HHT589842 GXX589842 GOB589842 GEF589842 FUJ589842 FKN589842 FAR589842 EQV589842 EGZ589842 DXD589842 DNH589842 DDL589842 CTP589842 CJT589842 BZX589842 BQB589842 BGF589842 AWJ589842 AMN589842 ACR589842 SV589842 IZ589842 WVL524306 WLP524306 WBT524306 VRX524306 VIB524306 UYF524306 UOJ524306 UEN524306 TUR524306 TKV524306 TAZ524306 SRD524306 SHH524306 RXL524306 RNP524306 RDT524306 QTX524306 QKB524306 QAF524306 PQJ524306 PGN524306 OWR524306 OMV524306 OCZ524306 NTD524306 NJH524306 MZL524306 MPP524306 MFT524306 LVX524306 LMB524306 LCF524306 KSJ524306 KIN524306 JYR524306 JOV524306 JEZ524306 IVD524306 ILH524306 IBL524306 HRP524306 HHT524306 GXX524306 GOB524306 GEF524306 FUJ524306 FKN524306 FAR524306 EQV524306 EGZ524306 DXD524306 DNH524306 DDL524306 CTP524306 CJT524306 BZX524306 BQB524306 BGF524306 AWJ524306 AMN524306 ACR524306 SV524306 IZ524306 WVL458770 WLP458770 WBT458770 VRX458770 VIB458770 UYF458770 UOJ458770 UEN458770 TUR458770 TKV458770 TAZ458770 SRD458770 SHH458770 RXL458770 RNP458770 RDT458770 QTX458770 QKB458770 QAF458770 PQJ458770 PGN458770 OWR458770 OMV458770 OCZ458770 NTD458770 NJH458770 MZL458770 MPP458770 MFT458770 LVX458770 LMB458770 LCF458770 KSJ458770 KIN458770 JYR458770 JOV458770 JEZ458770 IVD458770 ILH458770 IBL458770 HRP458770 HHT458770 GXX458770 GOB458770 GEF458770 FUJ458770 FKN458770 FAR458770 EQV458770 EGZ458770 DXD458770 DNH458770 DDL458770 CTP458770 CJT458770 BZX458770 BQB458770 BGF458770 AWJ458770 AMN458770 ACR458770 SV458770 IZ458770 WVL393234 WLP393234 WBT393234 VRX393234 VIB393234 UYF393234 UOJ393234 UEN393234 TUR393234 TKV393234 TAZ393234 SRD393234 SHH393234 RXL393234 RNP393234 RDT393234 QTX393234 QKB393234 QAF393234 PQJ393234 PGN393234 OWR393234 OMV393234 OCZ393234 NTD393234 NJH393234 MZL393234 MPP393234 MFT393234 LVX393234 LMB393234 LCF393234 KSJ393234 KIN393234 JYR393234 JOV393234 JEZ393234 IVD393234 ILH393234 IBL393234 HRP393234 HHT393234 GXX393234 GOB393234 GEF393234 FUJ393234 FKN393234 FAR393234 EQV393234 EGZ393234 DXD393234 DNH393234 DDL393234 CTP393234 CJT393234 BZX393234 BQB393234 BGF393234 AWJ393234 AMN393234 ACR393234 SV393234 IZ393234 WVL327698 WLP327698 WBT327698 VRX327698 VIB327698 UYF327698 UOJ327698 UEN327698 TUR327698 TKV327698 TAZ327698 SRD327698 SHH327698 RXL327698 RNP327698 RDT327698 QTX327698 QKB327698 QAF327698 PQJ327698 PGN327698 OWR327698 OMV327698 OCZ327698 NTD327698 NJH327698 MZL327698 MPP327698 MFT327698 LVX327698 LMB327698 LCF327698 KSJ327698 KIN327698 JYR327698 JOV327698 JEZ327698 IVD327698 ILH327698 IBL327698 HRP327698 HHT327698 GXX327698 GOB327698 GEF327698 FUJ327698 FKN327698 FAR327698 EQV327698 EGZ327698 DXD327698 DNH327698 DDL327698 CTP327698 CJT327698 BZX327698 BQB327698 BGF327698 AWJ327698 AMN327698 ACR327698 SV327698 IZ327698 WVL262162 WLP262162 WBT262162 VRX262162 VIB262162 UYF262162 UOJ262162 UEN262162 TUR262162 TKV262162 TAZ262162 SRD262162 SHH262162 RXL262162 RNP262162 RDT262162 QTX262162 QKB262162 QAF262162 PQJ262162 PGN262162 OWR262162 OMV262162 OCZ262162 NTD262162 NJH262162 MZL262162 MPP262162 MFT262162 LVX262162 LMB262162 LCF262162 KSJ262162 KIN262162 JYR262162 JOV262162 JEZ262162 IVD262162 ILH262162 IBL262162 HRP262162 HHT262162 GXX262162 GOB262162 GEF262162 FUJ262162 FKN262162 FAR262162 EQV262162 EGZ262162 DXD262162 DNH262162 DDL262162 CTP262162 CJT262162 BZX262162 BQB262162 BGF262162 AWJ262162 AMN262162 ACR262162 SV262162 IZ262162 WVL196626 WLP196626 WBT196626 VRX196626 VIB196626 UYF196626 UOJ196626 UEN196626 TUR196626 TKV196626 TAZ196626 SRD196626 SHH196626 RXL196626 RNP196626 RDT196626 QTX196626 QKB196626 QAF196626 PQJ196626 PGN196626 OWR196626 OMV196626 OCZ196626 NTD196626 NJH196626 MZL196626 MPP196626 MFT196626 LVX196626 LMB196626 LCF196626 KSJ196626 KIN196626 JYR196626 JOV196626 JEZ196626 IVD196626 ILH196626 IBL196626 HRP196626 HHT196626 GXX196626 GOB196626 GEF196626 FUJ196626 FKN196626 FAR196626 EQV196626 EGZ196626 DXD196626 DNH196626 DDL196626 CTP196626 CJT196626 BZX196626 BQB196626 BGF196626 AWJ196626 AMN196626 ACR196626 SV196626 IZ196626 WVL131090 WLP131090 WBT131090 VRX131090 VIB131090 UYF131090 UOJ131090 UEN131090 TUR131090 TKV131090 TAZ131090 SRD131090 SHH131090 RXL131090 RNP131090 RDT131090 QTX131090 QKB131090 QAF131090 PQJ131090 PGN131090 OWR131090 OMV131090 OCZ131090 NTD131090 NJH131090 MZL131090 MPP131090 MFT131090 LVX131090 LMB131090 LCF131090 KSJ131090 KIN131090 JYR131090 JOV131090 JEZ131090 IVD131090 ILH131090 IBL131090 HRP131090 HHT131090 GXX131090 GOB131090 GEF131090 FUJ131090 FKN131090 FAR131090 EQV131090 EGZ131090 DXD131090 DNH131090 DDL131090 CTP131090 CJT131090 BZX131090 BQB131090 BGF131090 AWJ131090 AMN131090 ACR131090 SV131090 IZ131090 WVL65554 WLP65554 WBT65554 VRX65554 VIB65554 UYF65554 UOJ65554 UEN65554 TUR65554 TKV65554 TAZ65554 SRD65554 SHH65554 RXL65554 RNP65554 RDT65554 QTX65554 QKB65554 QAF65554 PQJ65554 PGN65554 OWR65554 OMV65554 OCZ65554 NTD65554 NJH65554 MZL65554 MPP65554 MFT65554 LVX65554 LMB65554 LCF65554 KSJ65554 KIN65554 JYR65554 JOV65554 JEZ65554 IVD65554 ILH65554 IBL65554 HRP65554 HHT65554 GXX65554 GOB65554 GEF65554 FUJ65554 FKN65554 FAR65554 EQV65554 EGZ65554 DXD65554 DNH65554 DDL65554 CTP65554 CJT65554 BZX65554 BQB65554 BGF65554 AWJ65554 AMN65554 ACR65554 SV65554 IZ65554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SP7 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IT7 WVF983058 WLJ983058 WBN983058 VRR983058 VHV983058 UXZ983058 UOD983058 UEH983058 TUL983058 TKP983058 TAT983058 SQX983058 SHB983058 RXF983058 RNJ983058 RDN983058 QTR983058 QJV983058 PZZ983058 PQD983058 PGH983058 OWL983058 OMP983058 OCT983058 NSX983058 NJB983058 MZF983058 MPJ983058 MFN983058 LVR983058 LLV983058 LBZ983058 KSD983058 KIH983058 JYL983058 JOP983058 JET983058 IUX983058 ILB983058 IBF983058 HRJ983058 HHN983058 GXR983058 GNV983058 GDZ983058 FUD983058 FKH983058 FAL983058 EQP983058 EGT983058 DWX983058 DNB983058 DDF983058 CTJ983058 CJN983058 BZR983058 BPV983058 BFZ983058 AWD983058 AMH983058 ACL983058 SP983058 IT983058 WVF917522 WLJ917522 WBN917522 VRR917522 VHV917522 UXZ917522 UOD917522 UEH917522 TUL917522 TKP917522 TAT917522 SQX917522 SHB917522 RXF917522 RNJ917522 RDN917522 QTR917522 QJV917522 PZZ917522 PQD917522 PGH917522 OWL917522 OMP917522 OCT917522 NSX917522 NJB917522 MZF917522 MPJ917522 MFN917522 LVR917522 LLV917522 LBZ917522 KSD917522 KIH917522 JYL917522 JOP917522 JET917522 IUX917522 ILB917522 IBF917522 HRJ917522 HHN917522 GXR917522 GNV917522 GDZ917522 FUD917522 FKH917522 FAL917522 EQP917522 EGT917522 DWX917522 DNB917522 DDF917522 CTJ917522 CJN917522 BZR917522 BPV917522 BFZ917522 AWD917522 AMH917522 ACL917522 SP917522 IT917522 WVF851986 WLJ851986 WBN851986 VRR851986 VHV851986 UXZ851986 UOD851986 UEH851986 TUL851986 TKP851986 TAT851986 SQX851986 SHB851986 RXF851986 RNJ851986 RDN851986 QTR851986 QJV851986 PZZ851986 PQD851986 PGH851986 OWL851986 OMP851986 OCT851986 NSX851986 NJB851986 MZF851986 MPJ851986 MFN851986 LVR851986 LLV851986 LBZ851986 KSD851986 KIH851986 JYL851986 JOP851986 JET851986 IUX851986 ILB851986 IBF851986 HRJ851986 HHN851986 GXR851986 GNV851986 GDZ851986 FUD851986 FKH851986 FAL851986 EQP851986 EGT851986 DWX851986 DNB851986 DDF851986 CTJ851986 CJN851986 BZR851986 BPV851986 BFZ851986 AWD851986 AMH851986 ACL851986 SP851986 IT851986 WVF786450 WLJ786450 WBN786450 VRR786450 VHV786450 UXZ786450 UOD786450 UEH786450 TUL786450 TKP786450 TAT786450 SQX786450 SHB786450 RXF786450 RNJ786450 RDN786450 QTR786450 QJV786450 PZZ786450 PQD786450 PGH786450 OWL786450 OMP786450 OCT786450 NSX786450 NJB786450 MZF786450 MPJ786450 MFN786450 LVR786450 LLV786450 LBZ786450 KSD786450 KIH786450 JYL786450 JOP786450 JET786450 IUX786450 ILB786450 IBF786450 HRJ786450 HHN786450 GXR786450 GNV786450 GDZ786450 FUD786450 FKH786450 FAL786450 EQP786450 EGT786450 DWX786450 DNB786450 DDF786450 CTJ786450 CJN786450 BZR786450 BPV786450 BFZ786450 AWD786450 AMH786450 ACL786450 SP786450 IT786450 WVF720914 WLJ720914 WBN720914 VRR720914 VHV720914 UXZ720914 UOD720914 UEH720914 TUL720914 TKP720914 TAT720914 SQX720914 SHB720914 RXF720914 RNJ720914 RDN720914 QTR720914 QJV720914 PZZ720914 PQD720914 PGH720914 OWL720914 OMP720914 OCT720914 NSX720914 NJB720914 MZF720914 MPJ720914 MFN720914 LVR720914 LLV720914 LBZ720914 KSD720914 KIH720914 JYL720914 JOP720914 JET720914 IUX720914 ILB720914 IBF720914 HRJ720914 HHN720914 GXR720914 GNV720914 GDZ720914 FUD720914 FKH720914 FAL720914 EQP720914 EGT720914 DWX720914 DNB720914 DDF720914 CTJ720914 CJN720914 BZR720914 BPV720914 BFZ720914 AWD720914 AMH720914 ACL720914 SP720914 IT720914 WVF655378 WLJ655378 WBN655378 VRR655378 VHV655378 UXZ655378 UOD655378 UEH655378 TUL655378 TKP655378 TAT655378 SQX655378 SHB655378 RXF655378 RNJ655378 RDN655378 QTR655378 QJV655378 PZZ655378 PQD655378 PGH655378 OWL655378 OMP655378 OCT655378 NSX655378 NJB655378 MZF655378 MPJ655378 MFN655378 LVR655378 LLV655378 LBZ655378 KSD655378 KIH655378 JYL655378 JOP655378 JET655378 IUX655378 ILB655378 IBF655378 HRJ655378 HHN655378 GXR655378 GNV655378 GDZ655378 FUD655378 FKH655378 FAL655378 EQP655378 EGT655378 DWX655378 DNB655378 DDF655378 CTJ655378 CJN655378 BZR655378 BPV655378 BFZ655378 AWD655378 AMH655378 ACL655378 SP655378 IT655378 WVF589842 WLJ589842 WBN589842 VRR589842 VHV589842 UXZ589842 UOD589842 UEH589842 TUL589842 TKP589842 TAT589842 SQX589842 SHB589842 RXF589842 RNJ589842 RDN589842 QTR589842 QJV589842 PZZ589842 PQD589842 PGH589842 OWL589842 OMP589842 OCT589842 NSX589842 NJB589842 MZF589842 MPJ589842 MFN589842 LVR589842 LLV589842 LBZ589842 KSD589842 KIH589842 JYL589842 JOP589842 JET589842 IUX589842 ILB589842 IBF589842 HRJ589842 HHN589842 GXR589842 GNV589842 GDZ589842 FUD589842 FKH589842 FAL589842 EQP589842 EGT589842 DWX589842 DNB589842 DDF589842 CTJ589842 CJN589842 BZR589842 BPV589842 BFZ589842 AWD589842 AMH589842 ACL589842 SP589842 IT589842 WVF524306 WLJ524306 WBN524306 VRR524306 VHV524306 UXZ524306 UOD524306 UEH524306 TUL524306 TKP524306 TAT524306 SQX524306 SHB524306 RXF524306 RNJ524306 RDN524306 QTR524306 QJV524306 PZZ524306 PQD524306 PGH524306 OWL524306 OMP524306 OCT524306 NSX524306 NJB524306 MZF524306 MPJ524306 MFN524306 LVR524306 LLV524306 LBZ524306 KSD524306 KIH524306 JYL524306 JOP524306 JET524306 IUX524306 ILB524306 IBF524306 HRJ524306 HHN524306 GXR524306 GNV524306 GDZ524306 FUD524306 FKH524306 FAL524306 EQP524306 EGT524306 DWX524306 DNB524306 DDF524306 CTJ524306 CJN524306 BZR524306 BPV524306 BFZ524306 AWD524306 AMH524306 ACL524306 SP524306 IT524306 WVF458770 WLJ458770 WBN458770 VRR458770 VHV458770 UXZ458770 UOD458770 UEH458770 TUL458770 TKP458770 TAT458770 SQX458770 SHB458770 RXF458770 RNJ458770 RDN458770 QTR458770 QJV458770 PZZ458770 PQD458770 PGH458770 OWL458770 OMP458770 OCT458770 NSX458770 NJB458770 MZF458770 MPJ458770 MFN458770 LVR458770 LLV458770 LBZ458770 KSD458770 KIH458770 JYL458770 JOP458770 JET458770 IUX458770 ILB458770 IBF458770 HRJ458770 HHN458770 GXR458770 GNV458770 GDZ458770 FUD458770 FKH458770 FAL458770 EQP458770 EGT458770 DWX458770 DNB458770 DDF458770 CTJ458770 CJN458770 BZR458770 BPV458770 BFZ458770 AWD458770 AMH458770 ACL458770 SP458770 IT458770 WVF393234 WLJ393234 WBN393234 VRR393234 VHV393234 UXZ393234 UOD393234 UEH393234 TUL393234 TKP393234 TAT393234 SQX393234 SHB393234 RXF393234 RNJ393234 RDN393234 QTR393234 QJV393234 PZZ393234 PQD393234 PGH393234 OWL393234 OMP393234 OCT393234 NSX393234 NJB393234 MZF393234 MPJ393234 MFN393234 LVR393234 LLV393234 LBZ393234 KSD393234 KIH393234 JYL393234 JOP393234 JET393234 IUX393234 ILB393234 IBF393234 HRJ393234 HHN393234 GXR393234 GNV393234 GDZ393234 FUD393234 FKH393234 FAL393234 EQP393234 EGT393234 DWX393234 DNB393234 DDF393234 CTJ393234 CJN393234 BZR393234 BPV393234 BFZ393234 AWD393234 AMH393234 ACL393234 SP393234 IT393234 WVF327698 WLJ327698 WBN327698 VRR327698 VHV327698 UXZ327698 UOD327698 UEH327698 TUL327698 TKP327698 TAT327698 SQX327698 SHB327698 RXF327698 RNJ327698 RDN327698 QTR327698 QJV327698 PZZ327698 PQD327698 PGH327698 OWL327698 OMP327698 OCT327698 NSX327698 NJB327698 MZF327698 MPJ327698 MFN327698 LVR327698 LLV327698 LBZ327698 KSD327698 KIH327698 JYL327698 JOP327698 JET327698 IUX327698 ILB327698 IBF327698 HRJ327698 HHN327698 GXR327698 GNV327698 GDZ327698 FUD327698 FKH327698 FAL327698 EQP327698 EGT327698 DWX327698 DNB327698 DDF327698 CTJ327698 CJN327698 BZR327698 BPV327698 BFZ327698 AWD327698 AMH327698 ACL327698 SP327698 IT327698 WVF262162 WLJ262162 WBN262162 VRR262162 VHV262162 UXZ262162 UOD262162 UEH262162 TUL262162 TKP262162 TAT262162 SQX262162 SHB262162 RXF262162 RNJ262162 RDN262162 QTR262162 QJV262162 PZZ262162 PQD262162 PGH262162 OWL262162 OMP262162 OCT262162 NSX262162 NJB262162 MZF262162 MPJ262162 MFN262162 LVR262162 LLV262162 LBZ262162 KSD262162 KIH262162 JYL262162 JOP262162 JET262162 IUX262162 ILB262162 IBF262162 HRJ262162 HHN262162 GXR262162 GNV262162 GDZ262162 FUD262162 FKH262162 FAL262162 EQP262162 EGT262162 DWX262162 DNB262162 DDF262162 CTJ262162 CJN262162 BZR262162 BPV262162 BFZ262162 AWD262162 AMH262162 ACL262162 SP262162 IT262162 WVF196626 WLJ196626 WBN196626 VRR196626 VHV196626 UXZ196626 UOD196626 UEH196626 TUL196626 TKP196626 TAT196626 SQX196626 SHB196626 RXF196626 RNJ196626 RDN196626 QTR196626 QJV196626 PZZ196626 PQD196626 PGH196626 OWL196626 OMP196626 OCT196626 NSX196626 NJB196626 MZF196626 MPJ196626 MFN196626 LVR196626 LLV196626 LBZ196626 KSD196626 KIH196626 JYL196626 JOP196626 JET196626 IUX196626 ILB196626 IBF196626 HRJ196626 HHN196626 GXR196626 GNV196626 GDZ196626 FUD196626 FKH196626 FAL196626 EQP196626 EGT196626 DWX196626 DNB196626 DDF196626 CTJ196626 CJN196626 BZR196626 BPV196626 BFZ196626 AWD196626 AMH196626 ACL196626 SP196626 IT196626 WVF131090 WLJ131090 WBN131090 VRR131090 VHV131090 UXZ131090 UOD131090 UEH131090 TUL131090 TKP131090 TAT131090 SQX131090 SHB131090 RXF131090 RNJ131090 RDN131090 QTR131090 QJV131090 PZZ131090 PQD131090 PGH131090 OWL131090 OMP131090 OCT131090 NSX131090 NJB131090 MZF131090 MPJ131090 MFN131090 LVR131090 LLV131090 LBZ131090 KSD131090 KIH131090 JYL131090 JOP131090 JET131090 IUX131090 ILB131090 IBF131090 HRJ131090 HHN131090 GXR131090 GNV131090 GDZ131090 FUD131090 FKH131090 FAL131090 EQP131090 EGT131090 DWX131090 DNB131090 DDF131090 CTJ131090 CJN131090 BZR131090 BPV131090 BFZ131090 AWD131090 AMH131090 ACL131090 SP131090 IT131090 WVF65554 WLJ65554 WBN65554 VRR65554 VHV65554 UXZ65554 UOD65554 UEH65554 TUL65554 TKP65554 TAT65554 SQX65554 SHB65554 RXF65554 RNJ65554 RDN65554 QTR65554 QJV65554 PZZ65554 PQD65554 PGH65554 OWL65554 OMP65554 OCT65554 NSX65554 NJB65554 MZF65554 MPJ65554 MFN65554 LVR65554 LLV65554 LBZ65554 KSD65554 KIH65554 JYL65554 JOP65554 JET65554 IUX65554 ILB65554 IBF65554 HRJ65554 HHN65554 GXR65554 GNV65554 GDZ65554 FUD65554 FKH65554 FAL65554 EQP65554 EGT65554 DWX65554 DNB65554 DDF65554 CTJ65554 CJN65554 BZR65554 BPV65554 BFZ65554 AWD65554 AMH65554 ACL65554 SP65554 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xr:uid="{00000000-0002-0000-0100-000003000000}">
      <formula1>$C$46:$C$47</formula1>
    </dataValidation>
    <dataValidation type="list" showInputMessage="1" showErrorMessage="1" sqref="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C131085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C196621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C262157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C327693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C393229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C458765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C524301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C589837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C655373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C720909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C786445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C851981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C917517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C983053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WVF983048 C65551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C131087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C196623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C262159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C327695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C393231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C458767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C524303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C589839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C655375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C720911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C786447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C851983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C917519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C983055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xr:uid="{00000000-0002-0000-0100-000004000000}">
      <formula1>$D$307:$D$314</formula1>
    </dataValidation>
    <dataValidation type="date" imeMode="off" allowBlank="1" showInputMessage="1" showErrorMessage="1" errorTitle="入力エラー" error="西暦入力なら1971/11/3、和暦なら H4.3.21 等の形式で入力してください。" promptTitle="生年月日を入力してください。" prompt="この日付で介護分、未就学児、子ども・子育て支援金の対象などを判定します。" sqref="C7:G7" xr:uid="{00000000-0002-0000-0100-000005000000}">
      <formula1>1</formula1>
      <formula2>73050</formula2>
    </dataValidation>
  </dataValidations>
  <printOptions horizontalCentered="1" verticalCentered="1"/>
  <pageMargins left="0.51181102362204722" right="0.51181102362204722" top="0.74803149606299213" bottom="0.74803149606299213" header="0.31496062992125984" footer="0.31496062992125984"/>
  <pageSetup paperSize="9" scale="79" orientation="landscape" verticalDpi="0" r:id="rId1"/>
  <drawing r:id="rId2"/>
  <extLst>
    <ext xmlns:x14="http://schemas.microsoft.com/office/spreadsheetml/2009/9/main" uri="{CCE6A557-97BC-4b89-ADB6-D9C93CAAB3DF}">
      <x14:dataValidations xmlns:xm="http://schemas.microsoft.com/office/excel/2006/main" xWindow="360" yWindow="252" count="1">
        <x14:dataValidation type="list" showInputMessage="1" showErrorMessage="1" xr:uid="{00000000-0002-0000-0100-000006000000}">
          <x14:formula1>
            <xm:f>作業・変換!$D$80:$D$87</xm:f>
          </x14:formula1>
          <xm:sqref>C65549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U44"/>
  <sheetViews>
    <sheetView zoomScaleNormal="100" workbookViewId="0">
      <selection activeCell="S36" sqref="S36:T36"/>
    </sheetView>
  </sheetViews>
  <sheetFormatPr defaultRowHeight="18.75"/>
  <cols>
    <col min="2" max="2" width="5.25" bestFit="1" customWidth="1"/>
    <col min="4" max="15" width="3.125" customWidth="1"/>
    <col min="16" max="16" width="9" bestFit="1" customWidth="1"/>
    <col min="17" max="17" width="15.125" customWidth="1"/>
    <col min="18" max="18" width="15.125" bestFit="1" customWidth="1"/>
    <col min="19" max="20" width="15.125" customWidth="1"/>
    <col min="21" max="21" width="30" customWidth="1"/>
  </cols>
  <sheetData>
    <row r="1" spans="1:21" ht="25.5">
      <c r="A1" s="403" t="str">
        <f>"令和"&amp;基礎情報入力シート!B1&amp;"年度　多摩市　国民健康保険税　税額試算書"</f>
        <v>令和8年度　多摩市　国民健康保険税　税額試算書</v>
      </c>
      <c r="B1" s="403"/>
      <c r="C1" s="403"/>
      <c r="D1" s="403"/>
      <c r="E1" s="403"/>
      <c r="F1" s="403"/>
      <c r="G1" s="403"/>
      <c r="H1" s="403"/>
      <c r="I1" s="403"/>
      <c r="J1" s="403"/>
      <c r="K1" s="403"/>
      <c r="L1" s="403"/>
      <c r="M1" s="403"/>
      <c r="N1" s="403"/>
      <c r="O1" s="403"/>
      <c r="P1" s="403"/>
      <c r="Q1" s="41"/>
      <c r="R1" s="41"/>
      <c r="S1" s="41"/>
      <c r="T1" s="41"/>
      <c r="U1" s="41"/>
    </row>
    <row r="3" spans="1:21" ht="19.5" thickBot="1">
      <c r="A3" s="397" t="s">
        <v>98</v>
      </c>
      <c r="B3" s="397"/>
      <c r="C3" s="397"/>
      <c r="D3" s="407" t="str">
        <f>基礎情報入力シート!C6</f>
        <v>世帯主Ａ</v>
      </c>
      <c r="E3" s="407"/>
      <c r="F3" s="407"/>
      <c r="G3" s="407" t="str">
        <f>基礎情報入力シート!D6</f>
        <v/>
      </c>
      <c r="H3" s="407"/>
      <c r="I3" s="407"/>
      <c r="J3" s="407" t="str">
        <f>基礎情報入力シート!E6</f>
        <v/>
      </c>
      <c r="K3" s="407"/>
      <c r="L3" s="407"/>
      <c r="M3" s="407" t="str">
        <f>基礎情報入力シート!F6</f>
        <v/>
      </c>
      <c r="N3" s="407"/>
      <c r="O3" s="407"/>
      <c r="P3" s="25" t="str">
        <f>基礎情報入力シート!G6</f>
        <v/>
      </c>
      <c r="Q3" s="340" t="s">
        <v>95</v>
      </c>
      <c r="R3" s="341"/>
      <c r="S3" s="340" t="s">
        <v>96</v>
      </c>
      <c r="T3" s="341"/>
      <c r="U3" s="24" t="s">
        <v>97</v>
      </c>
    </row>
    <row r="4" spans="1:21" ht="16.149999999999999" customHeight="1">
      <c r="A4" s="395" t="str">
        <f>税額計算情報!A3</f>
        <v>医療分</v>
      </c>
      <c r="B4" s="395" t="s">
        <v>99</v>
      </c>
      <c r="C4" s="395"/>
      <c r="D4" s="393">
        <f>Q21</f>
        <v>0</v>
      </c>
      <c r="E4" s="394"/>
      <c r="F4" s="394"/>
      <c r="G4" s="393">
        <f>Q26</f>
        <v>0</v>
      </c>
      <c r="H4" s="394"/>
      <c r="I4" s="394"/>
      <c r="J4" s="393">
        <f>Q31</f>
        <v>0</v>
      </c>
      <c r="K4" s="394"/>
      <c r="L4" s="394"/>
      <c r="M4" s="393">
        <f>Q36</f>
        <v>0</v>
      </c>
      <c r="N4" s="394"/>
      <c r="O4" s="394"/>
      <c r="P4" s="172">
        <f>Q41</f>
        <v>0</v>
      </c>
      <c r="Q4" s="328">
        <f>SUM(D4:P5)</f>
        <v>0</v>
      </c>
      <c r="R4" s="329"/>
      <c r="S4" s="328">
        <f>MIN(ROUNDDOWN(Q4,-2),税額計算情報!D3)</f>
        <v>0</v>
      </c>
      <c r="T4" s="329"/>
      <c r="U4" s="399" t="str">
        <f>IF(Q4&gt;税額計算情報!D3,"課税限度額超過のため、課税限度額が確定税額です。","地方税法の規定により、百円未満は切り捨てとなります。")</f>
        <v>地方税法の規定により、百円未満は切り捨てとなります。</v>
      </c>
    </row>
    <row r="5" spans="1:21" ht="16.149999999999999" customHeight="1" thickBot="1">
      <c r="A5" s="396"/>
      <c r="B5" s="396" t="s">
        <v>94</v>
      </c>
      <c r="C5" s="396"/>
      <c r="D5" s="408">
        <f>S21</f>
        <v>0</v>
      </c>
      <c r="E5" s="409"/>
      <c r="F5" s="409"/>
      <c r="G5" s="408">
        <f>S26</f>
        <v>0</v>
      </c>
      <c r="H5" s="409"/>
      <c r="I5" s="409"/>
      <c r="J5" s="408">
        <f>S31</f>
        <v>0</v>
      </c>
      <c r="K5" s="409"/>
      <c r="L5" s="409"/>
      <c r="M5" s="408">
        <f>S36</f>
        <v>0</v>
      </c>
      <c r="N5" s="409"/>
      <c r="O5" s="409"/>
      <c r="P5" s="173">
        <f>S41</f>
        <v>0</v>
      </c>
      <c r="Q5" s="382"/>
      <c r="R5" s="331"/>
      <c r="S5" s="330"/>
      <c r="T5" s="331"/>
      <c r="U5" s="400"/>
    </row>
    <row r="6" spans="1:21" ht="16.149999999999999" customHeight="1">
      <c r="A6" s="367" t="str">
        <f>税額計算情報!A4</f>
        <v>後期分</v>
      </c>
      <c r="B6" s="367" t="s">
        <v>99</v>
      </c>
      <c r="C6" s="367"/>
      <c r="D6" s="368">
        <f>Q22</f>
        <v>0</v>
      </c>
      <c r="E6" s="369"/>
      <c r="F6" s="369"/>
      <c r="G6" s="368">
        <f>Q27</f>
        <v>0</v>
      </c>
      <c r="H6" s="369"/>
      <c r="I6" s="369"/>
      <c r="J6" s="368">
        <f>Q32</f>
        <v>0</v>
      </c>
      <c r="K6" s="369"/>
      <c r="L6" s="369"/>
      <c r="M6" s="368">
        <f>Q37</f>
        <v>0</v>
      </c>
      <c r="N6" s="369"/>
      <c r="O6" s="369"/>
      <c r="P6" s="174">
        <f>Q42</f>
        <v>0</v>
      </c>
      <c r="Q6" s="328">
        <f>SUM(D6:P7)</f>
        <v>0</v>
      </c>
      <c r="R6" s="329"/>
      <c r="S6" s="328">
        <f>MIN(ROUNDDOWN(Q6,-2),税額計算情報!D4)</f>
        <v>0</v>
      </c>
      <c r="T6" s="329"/>
      <c r="U6" s="401" t="str">
        <f>IF(Q6&gt;税額計算情報!D4,"課税限度額超過のため、課税限度額が確定税額です。","地方税法の規定により、百円未満は切り捨てとなります。")</f>
        <v>地方税法の規定により、百円未満は切り捨てとなります。</v>
      </c>
    </row>
    <row r="7" spans="1:21" ht="16.149999999999999" customHeight="1" thickBot="1">
      <c r="A7" s="397"/>
      <c r="B7" s="397" t="s">
        <v>94</v>
      </c>
      <c r="C7" s="397"/>
      <c r="D7" s="391">
        <f>S22</f>
        <v>0</v>
      </c>
      <c r="E7" s="392"/>
      <c r="F7" s="392"/>
      <c r="G7" s="391">
        <f>S27</f>
        <v>0</v>
      </c>
      <c r="H7" s="392"/>
      <c r="I7" s="392"/>
      <c r="J7" s="391">
        <f>S32</f>
        <v>0</v>
      </c>
      <c r="K7" s="392"/>
      <c r="L7" s="392"/>
      <c r="M7" s="391">
        <f>S37</f>
        <v>0</v>
      </c>
      <c r="N7" s="392"/>
      <c r="O7" s="392"/>
      <c r="P7" s="175">
        <f>S42</f>
        <v>0</v>
      </c>
      <c r="Q7" s="382"/>
      <c r="R7" s="331"/>
      <c r="S7" s="330"/>
      <c r="T7" s="331"/>
      <c r="U7" s="402"/>
    </row>
    <row r="8" spans="1:21" ht="16.149999999999999" customHeight="1" thickBot="1">
      <c r="A8" s="366" t="str">
        <f>税額計算情報!A5</f>
        <v>介護分</v>
      </c>
      <c r="B8" s="398" t="s">
        <v>99</v>
      </c>
      <c r="C8" s="398"/>
      <c r="D8" s="405">
        <f>Q23</f>
        <v>0</v>
      </c>
      <c r="E8" s="406"/>
      <c r="F8" s="406"/>
      <c r="G8" s="405">
        <f>Q28</f>
        <v>0</v>
      </c>
      <c r="H8" s="406"/>
      <c r="I8" s="406"/>
      <c r="J8" s="405">
        <f>Q33</f>
        <v>0</v>
      </c>
      <c r="K8" s="406"/>
      <c r="L8" s="406"/>
      <c r="M8" s="405">
        <f>Q38</f>
        <v>0</v>
      </c>
      <c r="N8" s="406"/>
      <c r="O8" s="406"/>
      <c r="P8" s="217">
        <f>Q43</f>
        <v>0</v>
      </c>
      <c r="Q8" s="370">
        <f>SUM(D8:P9)</f>
        <v>0</v>
      </c>
      <c r="R8" s="371"/>
      <c r="S8" s="328">
        <f>MIN(ROUNDDOWN(Q8,-2),税額計算情報!D5)</f>
        <v>0</v>
      </c>
      <c r="T8" s="329"/>
      <c r="U8" s="373" t="str">
        <f>IF(Q8&gt;税額計算情報!D5,"課税限度額超過のため、課税限度額が確定税額です。","地方税法の規定により、百円未満は切り捨てとなります。")</f>
        <v>地方税法の規定により、百円未満は切り捨てとなります。</v>
      </c>
    </row>
    <row r="9" spans="1:21" ht="16.149999999999999" customHeight="1" thickBot="1">
      <c r="A9" s="366"/>
      <c r="B9" s="397" t="s">
        <v>94</v>
      </c>
      <c r="C9" s="397"/>
      <c r="D9" s="391">
        <f>S23</f>
        <v>0</v>
      </c>
      <c r="E9" s="392"/>
      <c r="F9" s="392"/>
      <c r="G9" s="391">
        <f>S28</f>
        <v>0</v>
      </c>
      <c r="H9" s="392"/>
      <c r="I9" s="392"/>
      <c r="J9" s="391">
        <f>S33</f>
        <v>0</v>
      </c>
      <c r="K9" s="392"/>
      <c r="L9" s="392"/>
      <c r="M9" s="391">
        <f>S38</f>
        <v>0</v>
      </c>
      <c r="N9" s="392"/>
      <c r="O9" s="392"/>
      <c r="P9" s="175">
        <f>S43</f>
        <v>0</v>
      </c>
      <c r="Q9" s="372"/>
      <c r="R9" s="371"/>
      <c r="S9" s="330"/>
      <c r="T9" s="331"/>
      <c r="U9" s="373"/>
    </row>
    <row r="10" spans="1:21" ht="16.149999999999999" customHeight="1" thickBot="1">
      <c r="A10" s="366" t="str">
        <f>税額計算情報!A6</f>
        <v>子ども分</v>
      </c>
      <c r="B10" s="367" t="s">
        <v>99</v>
      </c>
      <c r="C10" s="367"/>
      <c r="D10" s="368">
        <f>Q24</f>
        <v>0</v>
      </c>
      <c r="E10" s="369"/>
      <c r="F10" s="369"/>
      <c r="G10" s="368">
        <f>Q29</f>
        <v>0</v>
      </c>
      <c r="H10" s="369"/>
      <c r="I10" s="369"/>
      <c r="J10" s="368">
        <f>Q34</f>
        <v>0</v>
      </c>
      <c r="K10" s="369"/>
      <c r="L10" s="369"/>
      <c r="M10" s="368">
        <f>Q39</f>
        <v>0</v>
      </c>
      <c r="N10" s="369"/>
      <c r="O10" s="369"/>
      <c r="P10" s="174">
        <f>Q44</f>
        <v>0</v>
      </c>
      <c r="Q10" s="370">
        <f>SUM(D10:P11)</f>
        <v>0</v>
      </c>
      <c r="R10" s="371"/>
      <c r="S10" s="328">
        <f>MIN(ROUNDDOWN(Q10,-2),税額計算情報!D6)</f>
        <v>0</v>
      </c>
      <c r="T10" s="329"/>
      <c r="U10" s="373" t="str">
        <f>IF(Q10&gt;税額計算情報!D6,"課税限度額超過のため、課税限度額が確定税額です。","地方税法の規定により、百円未満は切り捨てとなります。")</f>
        <v>地方税法の規定により、百円未満は切り捨てとなります。</v>
      </c>
    </row>
    <row r="11" spans="1:21" ht="16.149999999999999" customHeight="1" thickBot="1">
      <c r="A11" s="366"/>
      <c r="B11" s="305" t="s">
        <v>94</v>
      </c>
      <c r="C11" s="305"/>
      <c r="D11" s="374">
        <f>S24</f>
        <v>0</v>
      </c>
      <c r="E11" s="375"/>
      <c r="F11" s="375"/>
      <c r="G11" s="374">
        <f>S29</f>
        <v>0</v>
      </c>
      <c r="H11" s="375"/>
      <c r="I11" s="375"/>
      <c r="J11" s="374">
        <f>S34</f>
        <v>0</v>
      </c>
      <c r="K11" s="375"/>
      <c r="L11" s="375"/>
      <c r="M11" s="374">
        <f>S39</f>
        <v>0</v>
      </c>
      <c r="N11" s="375"/>
      <c r="O11" s="375"/>
      <c r="P11" s="218">
        <f>S44</f>
        <v>0</v>
      </c>
      <c r="Q11" s="372"/>
      <c r="R11" s="371"/>
      <c r="S11" s="330"/>
      <c r="T11" s="331"/>
      <c r="U11" s="373"/>
    </row>
    <row r="12" spans="1:21" ht="33.75" thickBot="1">
      <c r="B12" s="379" t="str">
        <f>IF(OR(基礎情報入力シート!C30:G30),"今年度40歳になる方の介護分は、40歳に到達した月の翌月以降に増額されます（右の表示金額は増額後の金額です）。","")</f>
        <v/>
      </c>
      <c r="C12" s="379"/>
      <c r="D12" s="379"/>
      <c r="E12" s="379"/>
      <c r="F12" s="379"/>
      <c r="G12" s="379"/>
      <c r="H12" s="379"/>
      <c r="I12" s="379"/>
      <c r="J12" s="379"/>
      <c r="K12" s="379"/>
      <c r="L12" s="379"/>
      <c r="M12" s="379"/>
      <c r="N12" s="379"/>
      <c r="O12" s="379"/>
      <c r="P12" s="380"/>
      <c r="Q12" s="383" t="s">
        <v>100</v>
      </c>
      <c r="R12" s="384"/>
      <c r="S12" s="332">
        <f>SUM(S4:S11)</f>
        <v>0</v>
      </c>
      <c r="T12" s="333"/>
    </row>
    <row r="13" spans="1:21" ht="19.5" thickTop="1"/>
    <row r="14" spans="1:21" ht="24">
      <c r="A14" s="404" t="str">
        <f>"令和"&amp;基礎情報入力シート!B1&amp;"年度　多摩市　国民健康保険税　個人別試算明細書"</f>
        <v>令和8年度　多摩市　国民健康保険税　個人別試算明細書</v>
      </c>
      <c r="B14" s="404"/>
      <c r="C14" s="404"/>
      <c r="D14" s="404"/>
      <c r="E14" s="404"/>
      <c r="F14" s="404"/>
      <c r="G14" s="404"/>
      <c r="H14" s="404"/>
      <c r="I14" s="404"/>
      <c r="J14" s="404"/>
      <c r="K14" s="404"/>
      <c r="L14" s="404"/>
      <c r="M14" s="404"/>
      <c r="N14" s="404"/>
      <c r="O14" s="404"/>
      <c r="P14" s="404"/>
      <c r="Q14" s="40"/>
      <c r="R14" s="40"/>
      <c r="S14" s="40"/>
      <c r="T14" s="40"/>
      <c r="U14" s="40"/>
    </row>
    <row r="16" spans="1:21" ht="18" customHeight="1">
      <c r="A16" s="303" t="s">
        <v>72</v>
      </c>
      <c r="B16" s="306" t="s">
        <v>73</v>
      </c>
      <c r="C16" s="309"/>
      <c r="D16" s="357" t="s">
        <v>195</v>
      </c>
      <c r="E16" s="358"/>
      <c r="F16" s="358"/>
      <c r="G16" s="358"/>
      <c r="H16" s="358"/>
      <c r="I16" s="358"/>
      <c r="J16" s="358"/>
      <c r="K16" s="358"/>
      <c r="L16" s="358"/>
      <c r="M16" s="358"/>
      <c r="N16" s="358"/>
      <c r="O16" s="359"/>
      <c r="P16" s="309" t="s">
        <v>70</v>
      </c>
      <c r="Q16" s="312" t="s">
        <v>189</v>
      </c>
      <c r="R16" s="313"/>
      <c r="S16" s="312" t="s">
        <v>190</v>
      </c>
      <c r="T16" s="313"/>
      <c r="U16" s="28"/>
    </row>
    <row r="17" spans="1:21">
      <c r="A17" s="304"/>
      <c r="B17" s="307"/>
      <c r="C17" s="310"/>
      <c r="D17" s="360"/>
      <c r="E17" s="361"/>
      <c r="F17" s="361"/>
      <c r="G17" s="361"/>
      <c r="H17" s="361"/>
      <c r="I17" s="361"/>
      <c r="J17" s="361"/>
      <c r="K17" s="361"/>
      <c r="L17" s="361"/>
      <c r="M17" s="361"/>
      <c r="N17" s="361"/>
      <c r="O17" s="362"/>
      <c r="P17" s="310"/>
      <c r="Q17" s="219" t="str">
        <f>"["&amp;税額計算情報!A3&amp;TEXT(税額計算情報!C3,"0.00%")&amp;"]"</f>
        <v>[医療分6.28%]</v>
      </c>
      <c r="R17" s="225" t="str">
        <f>"["&amp;税額計算情報!A4&amp;TEXT(税額計算情報!C4,"0.00%")&amp;"]"</f>
        <v>[後期分2.04%]</v>
      </c>
      <c r="S17" s="223" t="str">
        <f>"["&amp;税額計算情報!A3&amp;TEXT(税額計算情報!B3,"##,##0")&amp;"円]"</f>
        <v>[医療分30,800円]</v>
      </c>
      <c r="T17" s="224" t="str">
        <f>"["&amp;税額計算情報!A4&amp;TEXT(税額計算情報!B4,"##,##0")&amp;"円]"</f>
        <v>[後期分12,600円]</v>
      </c>
      <c r="U17" s="29" t="s">
        <v>74</v>
      </c>
    </row>
    <row r="18" spans="1:21">
      <c r="A18" s="304"/>
      <c r="B18" s="307"/>
      <c r="C18" s="310"/>
      <c r="D18" s="363"/>
      <c r="E18" s="364"/>
      <c r="F18" s="364"/>
      <c r="G18" s="364"/>
      <c r="H18" s="364"/>
      <c r="I18" s="364"/>
      <c r="J18" s="364"/>
      <c r="K18" s="364"/>
      <c r="L18" s="364"/>
      <c r="M18" s="364"/>
      <c r="N18" s="364"/>
      <c r="O18" s="365"/>
      <c r="P18" s="310"/>
      <c r="Q18" s="219" t="str">
        <f>"["&amp;税額計算情報!A5&amp;TEXT(税額計算情報!C5,"0.00%")&amp;"]"</f>
        <v>[介護分1.82%]</v>
      </c>
      <c r="R18" s="220" t="str">
        <f>"["&amp;税額計算情報!A6&amp;TEXT(税額計算情報!C6,"0.00%")&amp;"]"</f>
        <v>[子ども分0.30%]</v>
      </c>
      <c r="S18" s="223" t="str">
        <f>"["&amp;税額計算情報!A5&amp;TEXT(税額計算情報!B5,"##,##0")&amp;"円]"</f>
        <v>[介護分12,900円]</v>
      </c>
      <c r="T18" s="224" t="str">
        <f>"["&amp;税額計算情報!A6&amp;TEXT(税額計算情報!B6,"##,##0")&amp;"円]"</f>
        <v>[子ども分1,900円]</v>
      </c>
      <c r="U18" s="204" t="s">
        <v>90</v>
      </c>
    </row>
    <row r="19" spans="1:21" ht="19.5" thickBot="1">
      <c r="A19" s="305"/>
      <c r="B19" s="308"/>
      <c r="C19" s="311"/>
      <c r="D19" s="25">
        <v>4</v>
      </c>
      <c r="E19" s="25">
        <v>5</v>
      </c>
      <c r="F19" s="25">
        <v>6</v>
      </c>
      <c r="G19" s="25">
        <v>7</v>
      </c>
      <c r="H19" s="25">
        <v>8</v>
      </c>
      <c r="I19" s="25">
        <v>9</v>
      </c>
      <c r="J19" s="25">
        <v>10</v>
      </c>
      <c r="K19" s="25">
        <v>11</v>
      </c>
      <c r="L19" s="25">
        <v>12</v>
      </c>
      <c r="M19" s="25">
        <v>1</v>
      </c>
      <c r="N19" s="25">
        <v>2</v>
      </c>
      <c r="O19" s="26">
        <v>3</v>
      </c>
      <c r="P19" s="311"/>
      <c r="Q19" s="221"/>
      <c r="R19" s="222"/>
      <c r="S19" s="338" t="str">
        <f>"（軽減適用："&amp;IF(基礎情報入力シート!K26=0,"なし）",基礎情報入力シート!K26&amp;"割軽減）")</f>
        <v>（軽減適用：7割軽減）</v>
      </c>
      <c r="T19" s="339"/>
      <c r="U19" s="30"/>
    </row>
    <row r="20" spans="1:21">
      <c r="A20" s="353" t="str">
        <f>基礎情報入力シート!$C$6</f>
        <v>世帯主Ａ</v>
      </c>
      <c r="B20" s="356" t="str">
        <f>IF(COUNT(基礎情報入力シート!$C$5)=1,基礎情報入力シート!$C$5,"-")</f>
        <v>-</v>
      </c>
      <c r="C20" s="388">
        <f>基礎情報入力シート!C7</f>
        <v>0</v>
      </c>
      <c r="D20" s="389"/>
      <c r="E20" s="389"/>
      <c r="F20" s="390" t="str">
        <f>基礎情報入力シート!$A$32&amp;"："</f>
        <v>所得割基礎額：</v>
      </c>
      <c r="G20" s="390"/>
      <c r="H20" s="390"/>
      <c r="I20" s="390"/>
      <c r="J20" s="390"/>
      <c r="K20" s="385">
        <f>基礎情報入力シート!$C$32</f>
        <v>0</v>
      </c>
      <c r="L20" s="386"/>
      <c r="M20" s="386"/>
      <c r="N20" s="386"/>
      <c r="O20" s="387"/>
      <c r="P20" s="27"/>
      <c r="Q20" s="376" t="str">
        <f>IF(基礎情報入力シート!C27,"非自発的失業者減免適用","＊＊＊＊＊")</f>
        <v>＊＊＊＊＊</v>
      </c>
      <c r="R20" s="315"/>
      <c r="S20" s="314" t="str">
        <f>IF(AND(基礎情報入力シート!$C$28=1,基礎情報入力シート!$K$28&gt;0),"未就学児軽減適用","＊＊＊＊＊")&amp;"／"&amp;IF(AND(基礎情報入力シート!$C$29=1,基礎情報入力シート!$K$29&gt;0),"子ども分軽減適用","＊＊＊＊＊")</f>
        <v>＊＊＊＊＊／＊＊＊＊＊</v>
      </c>
      <c r="T20" s="315"/>
      <c r="U20" s="22">
        <f>SUM(U21:U24)</f>
        <v>0</v>
      </c>
    </row>
    <row r="21" spans="1:21" ht="16.149999999999999" customHeight="1">
      <c r="A21" s="354"/>
      <c r="B21" s="307"/>
      <c r="C21" s="31" t="str">
        <f>税額計算情報!A3</f>
        <v>医療分</v>
      </c>
      <c r="D21" s="155" t="str">
        <f>IF(AND(基礎情報入力シート!$D$2&lt;&gt;"しない",基礎情報入力シート!$C$7&gt;作業・変換!C$51,基礎情報入力シート!$C$7&lt;作業・変換!C$47),"〇","／")</f>
        <v>／</v>
      </c>
      <c r="E21" s="155" t="str">
        <f>IF(AND(基礎情報入力シート!$D$2&lt;&gt;"しない",基礎情報入力シート!$C$7&gt;作業・変換!D$51,基礎情報入力シート!$C$7&lt;作業・変換!D$47),"〇","／")</f>
        <v>／</v>
      </c>
      <c r="F21" s="155" t="str">
        <f>IF(AND(基礎情報入力シート!$D$2&lt;&gt;"しない",基礎情報入力シート!$C$7&gt;作業・変換!E$51,基礎情報入力シート!$C$7&lt;作業・変換!E$47),"〇","／")</f>
        <v>／</v>
      </c>
      <c r="G21" s="155" t="str">
        <f>IF(AND(基礎情報入力シート!$D$2&lt;&gt;"しない",基礎情報入力シート!$C$7&gt;作業・変換!F$51,基礎情報入力シート!$C$7&lt;作業・変換!F$47),"〇","／")</f>
        <v>／</v>
      </c>
      <c r="H21" s="155" t="str">
        <f>IF(AND(基礎情報入力シート!$D$2&lt;&gt;"しない",基礎情報入力シート!$C$7&gt;作業・変換!G$51,基礎情報入力シート!$C$7&lt;作業・変換!G$47),"〇","／")</f>
        <v>／</v>
      </c>
      <c r="I21" s="155" t="str">
        <f>IF(AND(基礎情報入力シート!$D$2&lt;&gt;"しない",基礎情報入力シート!$C$7&gt;作業・変換!H$51,基礎情報入力シート!$C$7&lt;作業・変換!H$47),"〇","／")</f>
        <v>／</v>
      </c>
      <c r="J21" s="155" t="str">
        <f>IF(AND(基礎情報入力シート!$D$2&lt;&gt;"しない",基礎情報入力シート!$C$7&gt;作業・変換!I$51,基礎情報入力シート!$C$7&lt;作業・変換!I$47),"〇","／")</f>
        <v>／</v>
      </c>
      <c r="K21" s="155" t="str">
        <f>IF(AND(基礎情報入力シート!$D$2&lt;&gt;"しない",基礎情報入力シート!$C$7&gt;作業・変換!J$51,基礎情報入力シート!$C$7&lt;作業・変換!J$47),"〇","／")</f>
        <v>／</v>
      </c>
      <c r="L21" s="155" t="str">
        <f>IF(AND(基礎情報入力シート!$D$2&lt;&gt;"しない",基礎情報入力シート!$C$7&gt;作業・変換!K$51,基礎情報入力シート!$C$7&lt;作業・変換!K$47),"〇","／")</f>
        <v>／</v>
      </c>
      <c r="M21" s="155" t="str">
        <f>IF(AND(基礎情報入力シート!$D$2&lt;&gt;"しない",基礎情報入力シート!$C$7&gt;作業・変換!L$51,基礎情報入力シート!$C$7&lt;作業・変換!L$47),"〇","／")</f>
        <v>／</v>
      </c>
      <c r="N21" s="155" t="str">
        <f>IF(AND(基礎情報入力シート!$D$2&lt;&gt;"しない",基礎情報入力シート!$C$7&gt;作業・変換!M$51,基礎情報入力シート!$C$7&lt;作業・変換!M$47),"〇","／")</f>
        <v>／</v>
      </c>
      <c r="O21" s="156" t="str">
        <f>IF(AND(基礎情報入力シート!$D$2&lt;&gt;"しない",基礎情報入力シート!$C$7&gt;作業・変換!N$51,基礎情報入力シート!$C$7&lt;作業・変換!N$47),"〇","／")</f>
        <v>／</v>
      </c>
      <c r="P21" s="37">
        <f>COUNTIF(D21:O21,"〇")</f>
        <v>0</v>
      </c>
      <c r="Q21" s="319">
        <f>K$20*税額計算情報!$C3*(P21/12)</f>
        <v>0</v>
      </c>
      <c r="R21" s="320"/>
      <c r="S21" s="319">
        <f>税額計算情報!B3*(1-基礎情報入力シート!$K$26/10)*(P21/12)*IF(基礎情報入力シート!$C$28=1,1-基礎情報入力シート!$K$28,1)</f>
        <v>0</v>
      </c>
      <c r="T21" s="320"/>
      <c r="U21" s="32">
        <f>Q21+S21</f>
        <v>0</v>
      </c>
    </row>
    <row r="22" spans="1:21" ht="16.149999999999999" customHeight="1">
      <c r="A22" s="354"/>
      <c r="B22" s="307"/>
      <c r="C22" s="33" t="str">
        <f>税額計算情報!A4</f>
        <v>後期分</v>
      </c>
      <c r="D22" s="164" t="str">
        <f>IF(D21="〇","〇","／")</f>
        <v>／</v>
      </c>
      <c r="E22" s="164" t="str">
        <f t="shared" ref="E22:O22" si="0">IF(E21="〇","〇","／")</f>
        <v>／</v>
      </c>
      <c r="F22" s="164" t="str">
        <f t="shared" si="0"/>
        <v>／</v>
      </c>
      <c r="G22" s="164" t="str">
        <f t="shared" si="0"/>
        <v>／</v>
      </c>
      <c r="H22" s="164" t="str">
        <f t="shared" si="0"/>
        <v>／</v>
      </c>
      <c r="I22" s="164" t="str">
        <f t="shared" si="0"/>
        <v>／</v>
      </c>
      <c r="J22" s="164" t="str">
        <f t="shared" si="0"/>
        <v>／</v>
      </c>
      <c r="K22" s="164" t="str">
        <f t="shared" si="0"/>
        <v>／</v>
      </c>
      <c r="L22" s="164" t="str">
        <f t="shared" si="0"/>
        <v>／</v>
      </c>
      <c r="M22" s="164" t="str">
        <f t="shared" si="0"/>
        <v>／</v>
      </c>
      <c r="N22" s="164" t="str">
        <f t="shared" si="0"/>
        <v>／</v>
      </c>
      <c r="O22" s="167" t="str">
        <f t="shared" si="0"/>
        <v>／</v>
      </c>
      <c r="P22" s="38">
        <f>COUNTIF(D22:O22,"〇")</f>
        <v>0</v>
      </c>
      <c r="Q22" s="321">
        <f>K$20*税額計算情報!$C4*(P22/12)</f>
        <v>0</v>
      </c>
      <c r="R22" s="322"/>
      <c r="S22" s="321">
        <f>税額計算情報!B4*(1-基礎情報入力シート!$K$26/10)*(P22/12)*IF(基礎情報入力シート!$C$28=1,1-基礎情報入力シート!$K$28,1)</f>
        <v>0</v>
      </c>
      <c r="T22" s="322"/>
      <c r="U22" s="34">
        <f>Q22+S22</f>
        <v>0</v>
      </c>
    </row>
    <row r="23" spans="1:21" ht="16.149999999999999" customHeight="1">
      <c r="A23" s="354"/>
      <c r="B23" s="307"/>
      <c r="C23" s="212" t="str">
        <f>税額計算情報!A5</f>
        <v>介護分</v>
      </c>
      <c r="D23" s="213" t="str">
        <f>IF(AND(D21="〇",作業・変換!C$50&lt;基礎情報入力シート!$C$7,基礎情報入力シート!$C$7&lt;作業・変換!C$49),"〇","／")</f>
        <v>／</v>
      </c>
      <c r="E23" s="213" t="str">
        <f>IF(AND(E21="〇",作業・変換!D$50&lt;基礎情報入力シート!$C$7,基礎情報入力シート!$C$7&lt;作業・変換!D$49),"〇","／")</f>
        <v>／</v>
      </c>
      <c r="F23" s="213" t="str">
        <f>IF(AND(F21="〇",作業・変換!E$50&lt;基礎情報入力シート!$C$7,基礎情報入力シート!$C$7&lt;作業・変換!E$49),"〇","／")</f>
        <v>／</v>
      </c>
      <c r="G23" s="213" t="str">
        <f>IF(AND(G21="〇",作業・変換!F$50&lt;基礎情報入力シート!$C$7,基礎情報入力シート!$C$7&lt;作業・変換!F$49),"〇","／")</f>
        <v>／</v>
      </c>
      <c r="H23" s="213" t="str">
        <f>IF(AND(H21="〇",作業・変換!G$50&lt;基礎情報入力シート!$C$7,基礎情報入力シート!$C$7&lt;作業・変換!G$49),"〇","／")</f>
        <v>／</v>
      </c>
      <c r="I23" s="213" t="str">
        <f>IF(AND(I21="〇",作業・変換!H$50&lt;基礎情報入力シート!$C$7,基礎情報入力シート!$C$7&lt;作業・変換!H$49),"〇","／")</f>
        <v>／</v>
      </c>
      <c r="J23" s="213" t="str">
        <f>IF(AND(J21="〇",作業・変換!I$50&lt;基礎情報入力シート!$C$7,基礎情報入力シート!$C$7&lt;作業・変換!I$49),"〇","／")</f>
        <v>／</v>
      </c>
      <c r="K23" s="213" t="str">
        <f>IF(AND(K21="〇",作業・変換!J$50&lt;基礎情報入力シート!$C$7,基礎情報入力シート!$C$7&lt;作業・変換!J$49),"〇","／")</f>
        <v>／</v>
      </c>
      <c r="L23" s="213" t="str">
        <f>IF(AND(L21="〇",作業・変換!K$50&lt;基礎情報入力シート!$C$7,基礎情報入力シート!$C$7&lt;作業・変換!K$49),"〇","／")</f>
        <v>／</v>
      </c>
      <c r="M23" s="213" t="str">
        <f>IF(AND(M21="〇",作業・変換!L$50&lt;基礎情報入力シート!$C$7,基礎情報入力シート!$C$7&lt;作業・変換!L$49),"〇","／")</f>
        <v>／</v>
      </c>
      <c r="N23" s="213" t="str">
        <f>IF(AND(N21="〇",作業・変換!M$50&lt;基礎情報入力シート!$C$7,基礎情報入力シート!$C$7&lt;作業・変換!M$49),"〇","／")</f>
        <v>／</v>
      </c>
      <c r="O23" s="214" t="str">
        <f>IF(AND(O21="〇",作業・変換!N$50&lt;基礎情報入力シート!$C$7,基礎情報入力シート!$C$7&lt;作業・変換!N$49),"〇","／")</f>
        <v>／</v>
      </c>
      <c r="P23" s="215">
        <f>COUNTIF(D23:O23,"〇")</f>
        <v>0</v>
      </c>
      <c r="Q23" s="377">
        <f>K$20*税額計算情報!$C5*(P23/12)</f>
        <v>0</v>
      </c>
      <c r="R23" s="378"/>
      <c r="S23" s="321">
        <f>税額計算情報!B5*(1-基礎情報入力シート!$K$26/10)*(P23/12)*IF(基礎情報入力シート!$C$28=1,1-基礎情報入力シート!$K$28,1)</f>
        <v>0</v>
      </c>
      <c r="T23" s="322"/>
      <c r="U23" s="216">
        <f>Q23+S23</f>
        <v>0</v>
      </c>
    </row>
    <row r="24" spans="1:21" ht="16.149999999999999" customHeight="1" thickBot="1">
      <c r="A24" s="355"/>
      <c r="B24" s="308"/>
      <c r="C24" s="35" t="str">
        <f>税額計算情報!A6</f>
        <v>子ども分</v>
      </c>
      <c r="D24" s="165" t="str">
        <f>IF(AND(D21="〇",税額計算情報!$B$6&lt;&gt;0,税額計算情報!$C$6&lt;&gt;0,基礎情報入力シート!$C$7&lt;作業・変換!C$48),"〇","／")</f>
        <v>／</v>
      </c>
      <c r="E24" s="165" t="str">
        <f>IF(AND(E21="〇",税額計算情報!$B$6&lt;&gt;0,税額計算情報!$C$6&lt;&gt;0,基礎情報入力シート!$C$7&lt;作業・変換!D$48),"〇","／")</f>
        <v>／</v>
      </c>
      <c r="F24" s="165" t="str">
        <f>IF(AND(F21="〇",税額計算情報!$B$6&lt;&gt;0,税額計算情報!$C$6&lt;&gt;0,基礎情報入力シート!$C$7&lt;作業・変換!E$48),"〇","／")</f>
        <v>／</v>
      </c>
      <c r="G24" s="165" t="str">
        <f>IF(AND(G21="〇",税額計算情報!$B$6&lt;&gt;0,税額計算情報!$C$6&lt;&gt;0,基礎情報入力シート!$C$7&lt;作業・変換!F$48),"〇","／")</f>
        <v>／</v>
      </c>
      <c r="H24" s="165" t="str">
        <f>IF(AND(H21="〇",税額計算情報!$B$6&lt;&gt;0,税額計算情報!$C$6&lt;&gt;0,基礎情報入力シート!$C$7&lt;作業・変換!G$48),"〇","／")</f>
        <v>／</v>
      </c>
      <c r="I24" s="165" t="str">
        <f>IF(AND(I21="〇",税額計算情報!$B$6&lt;&gt;0,税額計算情報!$C$6&lt;&gt;0,基礎情報入力シート!$C$7&lt;作業・変換!H$48),"〇","／")</f>
        <v>／</v>
      </c>
      <c r="J24" s="165" t="str">
        <f>IF(AND(J21="〇",税額計算情報!$B$6&lt;&gt;0,税額計算情報!$C$6&lt;&gt;0,基礎情報入力シート!$C$7&lt;作業・変換!I$48),"〇","／")</f>
        <v>／</v>
      </c>
      <c r="K24" s="165" t="str">
        <f>IF(AND(K21="〇",税額計算情報!$B$6&lt;&gt;0,税額計算情報!$C$6&lt;&gt;0,基礎情報入力シート!$C$7&lt;作業・変換!J$48),"〇","／")</f>
        <v>／</v>
      </c>
      <c r="L24" s="165" t="str">
        <f>IF(AND(L21="〇",税額計算情報!$B$6&lt;&gt;0,税額計算情報!$C$6&lt;&gt;0,基礎情報入力シート!$C$7&lt;作業・変換!K$48),"〇","／")</f>
        <v>／</v>
      </c>
      <c r="M24" s="165" t="str">
        <f>IF(AND(M21="〇",税額計算情報!$B$6&lt;&gt;0,税額計算情報!$C$6&lt;&gt;0,基礎情報入力シート!$C$7&lt;作業・変換!L$48),"〇","／")</f>
        <v>／</v>
      </c>
      <c r="N24" s="165" t="str">
        <f>IF(AND(N21="〇",税額計算情報!$B$6&lt;&gt;0,税額計算情報!$C$6&lt;&gt;0,基礎情報入力シート!$C$7&lt;作業・変換!M$48),"〇","／")</f>
        <v>／</v>
      </c>
      <c r="O24" s="166" t="str">
        <f>IF(AND(O21="〇",税額計算情報!$B$6&lt;&gt;0,税額計算情報!$C$6&lt;&gt;0,基礎情報入力シート!$C$7&lt;作業・変換!N$48),"〇","／")</f>
        <v>／</v>
      </c>
      <c r="P24" s="39">
        <f>COUNTIF(D24:O24,"〇")</f>
        <v>0</v>
      </c>
      <c r="Q24" s="323">
        <f>K$20*税額計算情報!$C6*(P24/12)</f>
        <v>0</v>
      </c>
      <c r="R24" s="324"/>
      <c r="S24" s="323">
        <f>税額計算情報!B6*(1-基礎情報入力シート!$K$26/10)*(P24/12)*IF(基礎情報入力シート!$C$28=1,1-基礎情報入力シート!$K$28,1)</f>
        <v>0</v>
      </c>
      <c r="T24" s="324"/>
      <c r="U24" s="36">
        <f>Q24+S24</f>
        <v>0</v>
      </c>
    </row>
    <row r="25" spans="1:21">
      <c r="A25" s="353" t="str">
        <f>基礎情報入力シート!D6</f>
        <v/>
      </c>
      <c r="B25" s="356" t="str">
        <f>IF(COUNT(基礎情報入力シート!$D$5)=1,基礎情報入力シート!$D$5,"-")</f>
        <v>-</v>
      </c>
      <c r="C25" s="388">
        <f>基礎情報入力シート!D7</f>
        <v>0</v>
      </c>
      <c r="D25" s="389"/>
      <c r="E25" s="389"/>
      <c r="F25" s="390" t="str">
        <f>基礎情報入力シート!$A$32&amp;"："</f>
        <v>所得割基礎額：</v>
      </c>
      <c r="G25" s="390"/>
      <c r="H25" s="390"/>
      <c r="I25" s="390"/>
      <c r="J25" s="390"/>
      <c r="K25" s="385">
        <f>基礎情報入力シート!$D$32</f>
        <v>0</v>
      </c>
      <c r="L25" s="386"/>
      <c r="M25" s="386"/>
      <c r="N25" s="386"/>
      <c r="O25" s="387"/>
      <c r="P25" s="27"/>
      <c r="Q25" s="376" t="str">
        <f>IF(基礎情報入力シート!D27,"非自発的失業者減免適用","＊＊＊＊＊")</f>
        <v>＊＊＊＊＊</v>
      </c>
      <c r="R25" s="315"/>
      <c r="S25" s="314" t="str">
        <f>IF(AND(基礎情報入力シート!$D$28=1,基礎情報入力シート!$K$28&gt;0),"未就学児軽減適用","＊＊＊＊＊")&amp;"／"&amp;IF(AND(基礎情報入力シート!$D$29=1,基礎情報入力シート!$K$29&gt;0),"子ども分軽減適用","＊＊＊＊＊")</f>
        <v>＊＊＊＊＊／＊＊＊＊＊</v>
      </c>
      <c r="T25" s="315"/>
      <c r="U25" s="22">
        <f>SUM(U26:U29)</f>
        <v>0</v>
      </c>
    </row>
    <row r="26" spans="1:21" ht="16.149999999999999" customHeight="1">
      <c r="A26" s="354"/>
      <c r="B26" s="307"/>
      <c r="C26" s="31" t="str">
        <f>税額計算情報!A3</f>
        <v>医療分</v>
      </c>
      <c r="D26" s="155" t="str">
        <f>IF(AND(COUNT(基礎情報入力シート!$D$7)=1,基礎情報入力シート!$D$7&gt;作業・変換!C$51,基礎情報入力シート!$D$7&lt;作業・変換!C$47),"〇","／")</f>
        <v>／</v>
      </c>
      <c r="E26" s="155" t="str">
        <f>IF(AND(COUNT(基礎情報入力シート!$D$7)=1,基礎情報入力シート!$D$7&gt;作業・変換!D$51,基礎情報入力シート!$D$7&lt;作業・変換!D$47),"〇","／")</f>
        <v>／</v>
      </c>
      <c r="F26" s="155" t="str">
        <f>IF(AND(COUNT(基礎情報入力シート!$D$7)=1,基礎情報入力シート!$D$7&gt;作業・変換!E$51,基礎情報入力シート!$D$7&lt;作業・変換!E$47),"〇","／")</f>
        <v>／</v>
      </c>
      <c r="G26" s="155" t="str">
        <f>IF(AND(COUNT(基礎情報入力シート!$D$7)=1,基礎情報入力シート!$D$7&gt;作業・変換!F$51,基礎情報入力シート!$D$7&lt;作業・変換!F$47),"〇","／")</f>
        <v>／</v>
      </c>
      <c r="H26" s="155" t="str">
        <f>IF(AND(COUNT(基礎情報入力シート!$D$7)=1,基礎情報入力シート!$D$7&gt;作業・変換!G$51,基礎情報入力シート!$D$7&lt;作業・変換!G$47),"〇","／")</f>
        <v>／</v>
      </c>
      <c r="I26" s="155" t="str">
        <f>IF(AND(COUNT(基礎情報入力シート!$D$7)=1,基礎情報入力シート!$D$7&gt;作業・変換!H$51,基礎情報入力シート!$D$7&lt;作業・変換!H$47),"〇","／")</f>
        <v>／</v>
      </c>
      <c r="J26" s="155" t="str">
        <f>IF(AND(COUNT(基礎情報入力シート!$D$7)=1,基礎情報入力シート!$D$7&gt;作業・変換!I$51,基礎情報入力シート!$D$7&lt;作業・変換!I$47),"〇","／")</f>
        <v>／</v>
      </c>
      <c r="K26" s="155" t="str">
        <f>IF(AND(COUNT(基礎情報入力シート!$D$7)=1,基礎情報入力シート!$D$7&gt;作業・変換!J$51,基礎情報入力シート!$D$7&lt;作業・変換!J$47),"〇","／")</f>
        <v>／</v>
      </c>
      <c r="L26" s="155" t="str">
        <f>IF(AND(COUNT(基礎情報入力シート!$D$7)=1,基礎情報入力シート!$D$7&gt;作業・変換!K$51,基礎情報入力シート!$D$7&lt;作業・変換!K$47),"〇","／")</f>
        <v>／</v>
      </c>
      <c r="M26" s="155" t="str">
        <f>IF(AND(COUNT(基礎情報入力シート!$D$7)=1,基礎情報入力シート!$D$7&gt;作業・変換!L$51,基礎情報入力シート!$D$7&lt;作業・変換!L$47),"〇","／")</f>
        <v>／</v>
      </c>
      <c r="N26" s="155" t="str">
        <f>IF(AND(COUNT(基礎情報入力シート!$D$7)=1,基礎情報入力シート!$D$7&gt;作業・変換!M$51,基礎情報入力シート!$D$7&lt;作業・変換!M$47),"〇","／")</f>
        <v>／</v>
      </c>
      <c r="O26" s="156" t="str">
        <f>IF(AND(COUNT(基礎情報入力シート!$D$7)=1,基礎情報入力シート!$D$7&gt;作業・変換!N$51,基礎情報入力シート!$D$7&lt;作業・変換!N$47),"〇","／")</f>
        <v>／</v>
      </c>
      <c r="P26" s="37">
        <f>COUNTIF(D26:O26,"〇")</f>
        <v>0</v>
      </c>
      <c r="Q26" s="319">
        <f>K$25*税額計算情報!$C3*(P26/12)</f>
        <v>0</v>
      </c>
      <c r="R26" s="325"/>
      <c r="S26" s="319">
        <f>税額計算情報!B3*(1-基礎情報入力シート!$K$26/10)*(P26/12)*IF(基礎情報入力シート!$D$28=1,1-基礎情報入力シート!$K$28,1)</f>
        <v>0</v>
      </c>
      <c r="T26" s="325"/>
      <c r="U26" s="32">
        <f>Q26+S26</f>
        <v>0</v>
      </c>
    </row>
    <row r="27" spans="1:21" ht="16.149999999999999" customHeight="1">
      <c r="A27" s="354"/>
      <c r="B27" s="307"/>
      <c r="C27" s="33" t="str">
        <f>税額計算情報!A4</f>
        <v>後期分</v>
      </c>
      <c r="D27" s="164" t="str">
        <f>IF(D26="〇","〇","／")</f>
        <v>／</v>
      </c>
      <c r="E27" s="164" t="str">
        <f t="shared" ref="E27" si="1">IF(E26="〇","〇","／")</f>
        <v>／</v>
      </c>
      <c r="F27" s="164" t="str">
        <f t="shared" ref="F27" si="2">IF(F26="〇","〇","／")</f>
        <v>／</v>
      </c>
      <c r="G27" s="164" t="str">
        <f t="shared" ref="G27" si="3">IF(G26="〇","〇","／")</f>
        <v>／</v>
      </c>
      <c r="H27" s="164" t="str">
        <f t="shared" ref="H27" si="4">IF(H26="〇","〇","／")</f>
        <v>／</v>
      </c>
      <c r="I27" s="164" t="str">
        <f t="shared" ref="I27" si="5">IF(I26="〇","〇","／")</f>
        <v>／</v>
      </c>
      <c r="J27" s="164" t="str">
        <f t="shared" ref="J27" si="6">IF(J26="〇","〇","／")</f>
        <v>／</v>
      </c>
      <c r="K27" s="164" t="str">
        <f t="shared" ref="K27" si="7">IF(K26="〇","〇","／")</f>
        <v>／</v>
      </c>
      <c r="L27" s="164" t="str">
        <f t="shared" ref="L27" si="8">IF(L26="〇","〇","／")</f>
        <v>／</v>
      </c>
      <c r="M27" s="164" t="str">
        <f t="shared" ref="M27" si="9">IF(M26="〇","〇","／")</f>
        <v>／</v>
      </c>
      <c r="N27" s="164" t="str">
        <f t="shared" ref="N27" si="10">IF(N26="〇","〇","／")</f>
        <v>／</v>
      </c>
      <c r="O27" s="167" t="str">
        <f t="shared" ref="O27" si="11">IF(O26="〇","〇","／")</f>
        <v>／</v>
      </c>
      <c r="P27" s="38">
        <f>COUNTIF(D27:O27,"〇")</f>
        <v>0</v>
      </c>
      <c r="Q27" s="321">
        <f>K$25*税額計算情報!$C4*(P27/12)</f>
        <v>0</v>
      </c>
      <c r="R27" s="326"/>
      <c r="S27" s="321">
        <f>税額計算情報!B4*(1-基礎情報入力シート!$K$26/10)*(P27/12)*IF(基礎情報入力シート!$D$28=1,1-基礎情報入力シート!$K$28,1)</f>
        <v>0</v>
      </c>
      <c r="T27" s="326"/>
      <c r="U27" s="34">
        <f>Q27+S27</f>
        <v>0</v>
      </c>
    </row>
    <row r="28" spans="1:21" ht="16.149999999999999" customHeight="1">
      <c r="A28" s="354"/>
      <c r="B28" s="307"/>
      <c r="C28" s="212" t="str">
        <f>税額計算情報!A5</f>
        <v>介護分</v>
      </c>
      <c r="D28" s="213" t="str">
        <f>IF(AND(D26="〇",作業・変換!C$50&lt;基礎情報入力シート!$D$7,基礎情報入力シート!$D$7&lt;作業・変換!C$49),"〇","／")</f>
        <v>／</v>
      </c>
      <c r="E28" s="213" t="str">
        <f>IF(AND(E26="〇",作業・変換!D$50&lt;基礎情報入力シート!$D$7,基礎情報入力シート!$D$7&lt;作業・変換!D$49),"〇","／")</f>
        <v>／</v>
      </c>
      <c r="F28" s="213" t="str">
        <f>IF(AND(F26="〇",作業・変換!E$50&lt;基礎情報入力シート!$D$7,基礎情報入力シート!$D$7&lt;作業・変換!E$49),"〇","／")</f>
        <v>／</v>
      </c>
      <c r="G28" s="213" t="str">
        <f>IF(AND(G26="〇",作業・変換!F$50&lt;基礎情報入力シート!$D$7,基礎情報入力シート!$D$7&lt;作業・変換!F$49),"〇","／")</f>
        <v>／</v>
      </c>
      <c r="H28" s="213" t="str">
        <f>IF(AND(H26="〇",作業・変換!G$50&lt;基礎情報入力シート!$D$7,基礎情報入力シート!$D$7&lt;作業・変換!G$49),"〇","／")</f>
        <v>／</v>
      </c>
      <c r="I28" s="213" t="str">
        <f>IF(AND(I26="〇",作業・変換!H$50&lt;基礎情報入力シート!$D$7,基礎情報入力シート!$D$7&lt;作業・変換!H$49),"〇","／")</f>
        <v>／</v>
      </c>
      <c r="J28" s="213" t="str">
        <f>IF(AND(J26="〇",作業・変換!I$50&lt;基礎情報入力シート!$D$7,基礎情報入力シート!$D$7&lt;作業・変換!I$49),"〇","／")</f>
        <v>／</v>
      </c>
      <c r="K28" s="213" t="str">
        <f>IF(AND(K26="〇",作業・変換!J$50&lt;基礎情報入力シート!$D$7,基礎情報入力シート!$D$7&lt;作業・変換!J$49),"〇","／")</f>
        <v>／</v>
      </c>
      <c r="L28" s="213" t="str">
        <f>IF(AND(L26="〇",作業・変換!K$50&lt;基礎情報入力シート!$D$7,基礎情報入力シート!$D$7&lt;作業・変換!K$49),"〇","／")</f>
        <v>／</v>
      </c>
      <c r="M28" s="213" t="str">
        <f>IF(AND(M26="〇",作業・変換!L$50&lt;基礎情報入力シート!$D$7,基礎情報入力シート!$D$7&lt;作業・変換!L$49),"〇","／")</f>
        <v>／</v>
      </c>
      <c r="N28" s="213" t="str">
        <f>IF(AND(N26="〇",作業・変換!M$50&lt;基礎情報入力シート!$D$7,基礎情報入力シート!$D$7&lt;作業・変換!M$49),"〇","／")</f>
        <v>／</v>
      </c>
      <c r="O28" s="214" t="str">
        <f>IF(AND(O26="〇",作業・変換!N$50&lt;基礎情報入力シート!$D$7,基礎情報入力シート!$D$7&lt;作業・変換!N$49),"〇","／")</f>
        <v>／</v>
      </c>
      <c r="P28" s="215">
        <f>COUNTIF(D28:O28,"〇")</f>
        <v>0</v>
      </c>
      <c r="Q28" s="321">
        <f>K$25*税額計算情報!$C5*(P28/12)</f>
        <v>0</v>
      </c>
      <c r="R28" s="326"/>
      <c r="S28" s="321">
        <f>税額計算情報!B5*(1-基礎情報入力シート!$K$26/10)*(P28/12)*IF(基礎情報入力シート!$D$28=1,1-基礎情報入力シート!$K$28,1)</f>
        <v>0</v>
      </c>
      <c r="T28" s="326"/>
      <c r="U28" s="216">
        <f>Q28+S28</f>
        <v>0</v>
      </c>
    </row>
    <row r="29" spans="1:21" ht="16.149999999999999" customHeight="1" thickBot="1">
      <c r="A29" s="355"/>
      <c r="B29" s="308"/>
      <c r="C29" s="35" t="str">
        <f>税額計算情報!A6</f>
        <v>子ども分</v>
      </c>
      <c r="D29" s="165" t="str">
        <f>IF(AND(D26="〇",税額計算情報!$B$6&lt;&gt;0,税額計算情報!$C$6&lt;&gt;0,基礎情報入力シート!$D$7&lt;作業・変換!C$48),"〇","／")</f>
        <v>／</v>
      </c>
      <c r="E29" s="165" t="str">
        <f>IF(AND(E26="〇",税額計算情報!$B$6&lt;&gt;0,税額計算情報!$C$6&lt;&gt;0,基礎情報入力シート!$D$7&lt;作業・変換!D$48),"〇","／")</f>
        <v>／</v>
      </c>
      <c r="F29" s="165" t="str">
        <f>IF(AND(F26="〇",税額計算情報!$B$6&lt;&gt;0,税額計算情報!$C$6&lt;&gt;0,基礎情報入力シート!$D$7&lt;作業・変換!E$48),"〇","／")</f>
        <v>／</v>
      </c>
      <c r="G29" s="165" t="str">
        <f>IF(AND(G26="〇",税額計算情報!$B$6&lt;&gt;0,税額計算情報!$C$6&lt;&gt;0,基礎情報入力シート!$D$7&lt;作業・変換!F$48),"〇","／")</f>
        <v>／</v>
      </c>
      <c r="H29" s="165" t="str">
        <f>IF(AND(H26="〇",税額計算情報!$B$6&lt;&gt;0,税額計算情報!$C$6&lt;&gt;0,基礎情報入力シート!$D$7&lt;作業・変換!G$48),"〇","／")</f>
        <v>／</v>
      </c>
      <c r="I29" s="165" t="str">
        <f>IF(AND(I26="〇",税額計算情報!$B$6&lt;&gt;0,税額計算情報!$C$6&lt;&gt;0,基礎情報入力シート!$D$7&lt;作業・変換!H$48),"〇","／")</f>
        <v>／</v>
      </c>
      <c r="J29" s="165" t="str">
        <f>IF(AND(J26="〇",税額計算情報!$B$6&lt;&gt;0,税額計算情報!$C$6&lt;&gt;0,基礎情報入力シート!$D$7&lt;作業・変換!I$48),"〇","／")</f>
        <v>／</v>
      </c>
      <c r="K29" s="165" t="str">
        <f>IF(AND(K26="〇",税額計算情報!$B$6&lt;&gt;0,税額計算情報!$C$6&lt;&gt;0,基礎情報入力シート!$D$7&lt;作業・変換!J$48),"〇","／")</f>
        <v>／</v>
      </c>
      <c r="L29" s="165" t="str">
        <f>IF(AND(L26="〇",税額計算情報!$B$6&lt;&gt;0,税額計算情報!$C$6&lt;&gt;0,基礎情報入力シート!$D$7&lt;作業・変換!K$48),"〇","／")</f>
        <v>／</v>
      </c>
      <c r="M29" s="165" t="str">
        <f>IF(AND(M26="〇",税額計算情報!$B$6&lt;&gt;0,税額計算情報!$C$6&lt;&gt;0,基礎情報入力シート!$D$7&lt;作業・変換!L$48),"〇","／")</f>
        <v>／</v>
      </c>
      <c r="N29" s="165" t="str">
        <f>IF(AND(N26="〇",税額計算情報!$B$6&lt;&gt;0,税額計算情報!$C$6&lt;&gt;0,基礎情報入力シート!$D$7&lt;作業・変換!M$48),"〇","／")</f>
        <v>／</v>
      </c>
      <c r="O29" s="166" t="str">
        <f>IF(AND(O26="〇",税額計算情報!$B$6&lt;&gt;0,税額計算情報!$C$6&lt;&gt;0,基礎情報入力シート!$D$7&lt;作業・変換!N$48),"〇","／")</f>
        <v>／</v>
      </c>
      <c r="P29" s="39">
        <f>COUNTIF(D29:O29,"〇")</f>
        <v>0</v>
      </c>
      <c r="Q29" s="323">
        <f>K$25*税額計算情報!$C6*(P29/12)</f>
        <v>0</v>
      </c>
      <c r="R29" s="327"/>
      <c r="S29" s="323">
        <f>税額計算情報!B6*(1-基礎情報入力シート!$K$26/10)*(P29/12)*IF(基礎情報入力シート!$D$28=1,1-基礎情報入力シート!$K$28,1)</f>
        <v>0</v>
      </c>
      <c r="T29" s="327"/>
      <c r="U29" s="36">
        <f>Q29+S29</f>
        <v>0</v>
      </c>
    </row>
    <row r="30" spans="1:21">
      <c r="A30" s="342" t="str">
        <f>基礎情報入力シート!E6</f>
        <v/>
      </c>
      <c r="B30" s="345" t="str">
        <f>IF(COUNT(基礎情報入力シート!$E$5)=1,基礎情報入力シート!$E$5,"-")</f>
        <v>-</v>
      </c>
      <c r="C30" s="388">
        <f>基礎情報入力シート!E7</f>
        <v>0</v>
      </c>
      <c r="D30" s="389"/>
      <c r="E30" s="389"/>
      <c r="F30" s="390" t="str">
        <f>基礎情報入力シート!$A$32&amp;"："</f>
        <v>所得割基礎額：</v>
      </c>
      <c r="G30" s="390"/>
      <c r="H30" s="390"/>
      <c r="I30" s="390"/>
      <c r="J30" s="390"/>
      <c r="K30" s="385">
        <f>基礎情報入力シート!$E$32</f>
        <v>0</v>
      </c>
      <c r="L30" s="386"/>
      <c r="M30" s="386"/>
      <c r="N30" s="386"/>
      <c r="O30" s="387"/>
      <c r="P30" s="206"/>
      <c r="Q30" s="381" t="str">
        <f>IF(基礎情報入力シート!E27,"非自発的失業者減免適用","＊＊＊＊＊")</f>
        <v>＊＊＊＊＊</v>
      </c>
      <c r="R30" s="317"/>
      <c r="S30" s="316" t="str">
        <f>IF(AND(基礎情報入力シート!$E$28=1,基礎情報入力シート!$K$28&gt;0),"未就学児軽減適用","＊＊＊＊＊")&amp;"／"&amp;IF(AND(基礎情報入力シート!$E$29=1,基礎情報入力シート!$K$29&gt;0),"子ども分軽減適用","＊＊＊＊＊")</f>
        <v>＊＊＊＊＊／＊＊＊＊＊</v>
      </c>
      <c r="T30" s="317"/>
      <c r="U30" s="205">
        <f>SUM(U31:U34)</f>
        <v>0</v>
      </c>
    </row>
    <row r="31" spans="1:21" ht="16.149999999999999" customHeight="1">
      <c r="A31" s="343"/>
      <c r="B31" s="346"/>
      <c r="C31" s="209" t="str">
        <f>税額計算情報!A3</f>
        <v>医療分</v>
      </c>
      <c r="D31" s="210" t="str">
        <f>IF(AND(COUNT(基礎情報入力シート!$E$7)=1,基礎情報入力シート!$E$7&gt;作業・変換!C$51,基礎情報入力シート!$E$7&lt;作業・変換!C$47),"〇","／")</f>
        <v>／</v>
      </c>
      <c r="E31" s="210" t="str">
        <f>IF(AND(COUNT(基礎情報入力シート!$E$7)=1,基礎情報入力シート!$E$7&gt;作業・変換!D$51,基礎情報入力シート!$E$7&lt;作業・変換!D$47),"〇","／")</f>
        <v>／</v>
      </c>
      <c r="F31" s="210" t="str">
        <f>IF(AND(COUNT(基礎情報入力シート!$E$7)=1,基礎情報入力シート!$E$7&gt;作業・変換!E$51,基礎情報入力シート!$E$7&lt;作業・変換!E$47),"〇","／")</f>
        <v>／</v>
      </c>
      <c r="G31" s="210" t="str">
        <f>IF(AND(COUNT(基礎情報入力シート!$E$7)=1,基礎情報入力シート!$E$7&gt;作業・変換!F$51,基礎情報入力シート!$E$7&lt;作業・変換!F$47),"〇","／")</f>
        <v>／</v>
      </c>
      <c r="H31" s="210" t="str">
        <f>IF(AND(COUNT(基礎情報入力シート!$E$7)=1,基礎情報入力シート!$E$7&gt;作業・変換!G$51,基礎情報入力シート!$E$7&lt;作業・変換!G$47),"〇","／")</f>
        <v>／</v>
      </c>
      <c r="I31" s="210" t="str">
        <f>IF(AND(COUNT(基礎情報入力シート!$E$7)=1,基礎情報入力シート!$E$7&gt;作業・変換!H$51,基礎情報入力シート!$E$7&lt;作業・変換!H$47),"〇","／")</f>
        <v>／</v>
      </c>
      <c r="J31" s="210" t="str">
        <f>IF(AND(COUNT(基礎情報入力シート!$E$7)=1,基礎情報入力シート!$E$7&gt;作業・変換!I$51,基礎情報入力シート!$E$7&lt;作業・変換!I$47),"〇","／")</f>
        <v>／</v>
      </c>
      <c r="K31" s="210" t="str">
        <f>IF(AND(COUNT(基礎情報入力シート!$E$7)=1,基礎情報入力シート!$E$7&gt;作業・変換!J$51,基礎情報入力シート!$E$7&lt;作業・変換!J$47),"〇","／")</f>
        <v>／</v>
      </c>
      <c r="L31" s="210" t="str">
        <f>IF(AND(COUNT(基礎情報入力シート!$E$7)=1,基礎情報入力シート!$E$7&gt;作業・変換!K$51,基礎情報入力シート!$E$7&lt;作業・変換!K$47),"〇","／")</f>
        <v>／</v>
      </c>
      <c r="M31" s="210" t="str">
        <f>IF(AND(COUNT(基礎情報入力シート!$E$7)=1,基礎情報入力シート!$E$7&gt;作業・変換!L$51,基礎情報入力シート!$E$7&lt;作業・変換!L$47),"〇","／")</f>
        <v>／</v>
      </c>
      <c r="N31" s="210" t="str">
        <f>IF(AND(COUNT(基礎情報入力シート!$E$7)=1,基礎情報入力シート!$E$7&gt;作業・変換!M$51,基礎情報入力シート!$E$7&lt;作業・変換!M$47),"〇","／")</f>
        <v>／</v>
      </c>
      <c r="O31" s="211" t="str">
        <f>IF(AND(COUNT(基礎情報入力シート!$E$7)=1,基礎情報入力シート!$E$7&gt;作業・変換!N$51,基礎情報入力シート!$E$7&lt;作業・変換!N$47),"〇","／")</f>
        <v>／</v>
      </c>
      <c r="P31" s="38">
        <f>COUNTIF(D31:O31,"〇")</f>
        <v>0</v>
      </c>
      <c r="Q31" s="321">
        <f>K$30*税額計算情報!$C3*(P31/12)</f>
        <v>0</v>
      </c>
      <c r="R31" s="322"/>
      <c r="S31" s="321">
        <f>税額計算情報!B3*(1-基礎情報入力シート!$K$26/10)*(P31/12)*IF(基礎情報入力シート!$E$28=1,1-基礎情報入力シート!$K$28,1)</f>
        <v>0</v>
      </c>
      <c r="T31" s="322"/>
      <c r="U31" s="34">
        <f>Q31+S31</f>
        <v>0</v>
      </c>
    </row>
    <row r="32" spans="1:21" ht="16.149999999999999" customHeight="1">
      <c r="A32" s="343"/>
      <c r="B32" s="346"/>
      <c r="C32" s="33" t="str">
        <f>税額計算情報!A4</f>
        <v>後期分</v>
      </c>
      <c r="D32" s="164" t="str">
        <f>IF(D31="〇","〇","／")</f>
        <v>／</v>
      </c>
      <c r="E32" s="164" t="str">
        <f t="shared" ref="E32" si="12">IF(E31="〇","〇","／")</f>
        <v>／</v>
      </c>
      <c r="F32" s="164" t="str">
        <f t="shared" ref="F32" si="13">IF(F31="〇","〇","／")</f>
        <v>／</v>
      </c>
      <c r="G32" s="164" t="str">
        <f t="shared" ref="G32" si="14">IF(G31="〇","〇","／")</f>
        <v>／</v>
      </c>
      <c r="H32" s="164" t="str">
        <f t="shared" ref="H32" si="15">IF(H31="〇","〇","／")</f>
        <v>／</v>
      </c>
      <c r="I32" s="164" t="str">
        <f t="shared" ref="I32" si="16">IF(I31="〇","〇","／")</f>
        <v>／</v>
      </c>
      <c r="J32" s="164" t="str">
        <f t="shared" ref="J32" si="17">IF(J31="〇","〇","／")</f>
        <v>／</v>
      </c>
      <c r="K32" s="164" t="str">
        <f t="shared" ref="K32" si="18">IF(K31="〇","〇","／")</f>
        <v>／</v>
      </c>
      <c r="L32" s="164" t="str">
        <f t="shared" ref="L32" si="19">IF(L31="〇","〇","／")</f>
        <v>／</v>
      </c>
      <c r="M32" s="164" t="str">
        <f t="shared" ref="M32" si="20">IF(M31="〇","〇","／")</f>
        <v>／</v>
      </c>
      <c r="N32" s="164" t="str">
        <f t="shared" ref="N32" si="21">IF(N31="〇","〇","／")</f>
        <v>／</v>
      </c>
      <c r="O32" s="167" t="str">
        <f t="shared" ref="O32" si="22">IF(O31="〇","〇","／")</f>
        <v>／</v>
      </c>
      <c r="P32" s="38">
        <f>COUNTIF(D32:O32,"〇")</f>
        <v>0</v>
      </c>
      <c r="Q32" s="321">
        <f>K$30*税額計算情報!$C4*(P32/12)</f>
        <v>0</v>
      </c>
      <c r="R32" s="322"/>
      <c r="S32" s="321">
        <f>税額計算情報!B4*(1-基礎情報入力シート!$K$26/10)*(P32/12)*IF(基礎情報入力シート!$E$28=1,1-基礎情報入力シート!$K$28,1)</f>
        <v>0</v>
      </c>
      <c r="T32" s="322"/>
      <c r="U32" s="34">
        <f>Q32+S32</f>
        <v>0</v>
      </c>
    </row>
    <row r="33" spans="1:21" ht="16.149999999999999" customHeight="1">
      <c r="A33" s="343"/>
      <c r="B33" s="346"/>
      <c r="C33" s="33" t="str">
        <f>税額計算情報!A5</f>
        <v>介護分</v>
      </c>
      <c r="D33" s="164" t="str">
        <f>IF(AND(D31="〇",作業・変換!C$50&lt;基礎情報入力シート!$E$7,基礎情報入力シート!$E$7&lt;作業・変換!C$49),"〇","／")</f>
        <v>／</v>
      </c>
      <c r="E33" s="164" t="str">
        <f>IF(AND(E31="〇",作業・変換!D$50&lt;基礎情報入力シート!$E$7,基礎情報入力シート!$E$7&lt;作業・変換!D$49),"〇","／")</f>
        <v>／</v>
      </c>
      <c r="F33" s="164" t="str">
        <f>IF(AND(F31="〇",作業・変換!E$50&lt;基礎情報入力シート!$E$7,基礎情報入力シート!$E$7&lt;作業・変換!E$49),"〇","／")</f>
        <v>／</v>
      </c>
      <c r="G33" s="164" t="str">
        <f>IF(AND(G31="〇",作業・変換!F$50&lt;基礎情報入力シート!$E$7,基礎情報入力シート!$E$7&lt;作業・変換!F$49),"〇","／")</f>
        <v>／</v>
      </c>
      <c r="H33" s="164" t="str">
        <f>IF(AND(H31="〇",作業・変換!G$50&lt;基礎情報入力シート!$E$7,基礎情報入力シート!$E$7&lt;作業・変換!G$49),"〇","／")</f>
        <v>／</v>
      </c>
      <c r="I33" s="164" t="str">
        <f>IF(AND(I31="〇",作業・変換!H$50&lt;基礎情報入力シート!$E$7,基礎情報入力シート!$E$7&lt;作業・変換!H$49),"〇","／")</f>
        <v>／</v>
      </c>
      <c r="J33" s="164" t="str">
        <f>IF(AND(J31="〇",作業・変換!I$50&lt;基礎情報入力シート!$E$7,基礎情報入力シート!$E$7&lt;作業・変換!I$49),"〇","／")</f>
        <v>／</v>
      </c>
      <c r="K33" s="164" t="str">
        <f>IF(AND(K31="〇",作業・変換!J$50&lt;基礎情報入力シート!$E$7,基礎情報入力シート!$E$7&lt;作業・変換!J$49),"〇","／")</f>
        <v>／</v>
      </c>
      <c r="L33" s="164" t="str">
        <f>IF(AND(L31="〇",作業・変換!K$50&lt;基礎情報入力シート!$E$7,基礎情報入力シート!$E$7&lt;作業・変換!K$49),"〇","／")</f>
        <v>／</v>
      </c>
      <c r="M33" s="164" t="str">
        <f>IF(AND(M31="〇",作業・変換!L$50&lt;基礎情報入力シート!$E$7,基礎情報入力シート!$E$7&lt;作業・変換!L$49),"〇","／")</f>
        <v>／</v>
      </c>
      <c r="N33" s="164" t="str">
        <f>IF(AND(N31="〇",作業・変換!M$50&lt;基礎情報入力シート!$E$7,基礎情報入力シート!$E$7&lt;作業・変換!M$49),"〇","／")</f>
        <v>／</v>
      </c>
      <c r="O33" s="167" t="str">
        <f>IF(AND(O31="〇",作業・変換!N$50&lt;基礎情報入力シート!$E$7,基礎情報入力シート!$E$7&lt;作業・変換!N$49),"〇","／")</f>
        <v>／</v>
      </c>
      <c r="P33" s="38">
        <f>COUNTIF(D33:O33,"〇")</f>
        <v>0</v>
      </c>
      <c r="Q33" s="321">
        <f>K$30*税額計算情報!$C5*(P33/12)</f>
        <v>0</v>
      </c>
      <c r="R33" s="322"/>
      <c r="S33" s="321">
        <f>税額計算情報!B5*(1-基礎情報入力シート!$K$26/10)*(P33/12)*IF(基礎情報入力シート!$E$28=1,1-基礎情報入力シート!$K$28,1)</f>
        <v>0</v>
      </c>
      <c r="T33" s="322"/>
      <c r="U33" s="34">
        <f>Q33+S33</f>
        <v>0</v>
      </c>
    </row>
    <row r="34" spans="1:21" ht="16.149999999999999" customHeight="1" thickBot="1">
      <c r="A34" s="344"/>
      <c r="B34" s="347"/>
      <c r="C34" s="35" t="str">
        <f>税額計算情報!A6</f>
        <v>子ども分</v>
      </c>
      <c r="D34" s="165" t="str">
        <f>IF(AND(D31="〇",税額計算情報!$B$6&lt;&gt;0,税額計算情報!$C$6&lt;&gt;0,基礎情報入力シート!$E$7&lt;作業・変換!C$48),"〇","／")</f>
        <v>／</v>
      </c>
      <c r="E34" s="165" t="str">
        <f>IF(AND(E31="〇",税額計算情報!$B$6&lt;&gt;0,税額計算情報!$C$6&lt;&gt;0,基礎情報入力シート!$E$7&lt;作業・変換!D$48),"〇","／")</f>
        <v>／</v>
      </c>
      <c r="F34" s="165" t="str">
        <f>IF(AND(F31="〇",税額計算情報!$B$6&lt;&gt;0,税額計算情報!$C$6&lt;&gt;0,基礎情報入力シート!$E$7&lt;作業・変換!E$48),"〇","／")</f>
        <v>／</v>
      </c>
      <c r="G34" s="165" t="str">
        <f>IF(AND(G31="〇",税額計算情報!$B$6&lt;&gt;0,税額計算情報!$C$6&lt;&gt;0,基礎情報入力シート!$E$7&lt;作業・変換!F$48),"〇","／")</f>
        <v>／</v>
      </c>
      <c r="H34" s="165" t="str">
        <f>IF(AND(H31="〇",税額計算情報!$B$6&lt;&gt;0,税額計算情報!$C$6&lt;&gt;0,基礎情報入力シート!$E$7&lt;作業・変換!G$48),"〇","／")</f>
        <v>／</v>
      </c>
      <c r="I34" s="165" t="str">
        <f>IF(AND(I31="〇",税額計算情報!$B$6&lt;&gt;0,税額計算情報!$C$6&lt;&gt;0,基礎情報入力シート!$E$7&lt;作業・変換!H$48),"〇","／")</f>
        <v>／</v>
      </c>
      <c r="J34" s="165" t="str">
        <f>IF(AND(J31="〇",税額計算情報!$B$6&lt;&gt;0,税額計算情報!$C$6&lt;&gt;0,基礎情報入力シート!$E$7&lt;作業・変換!I$48),"〇","／")</f>
        <v>／</v>
      </c>
      <c r="K34" s="165" t="str">
        <f>IF(AND(K31="〇",税額計算情報!$B$6&lt;&gt;0,税額計算情報!$C$6&lt;&gt;0,基礎情報入力シート!$E$7&lt;作業・変換!J$48),"〇","／")</f>
        <v>／</v>
      </c>
      <c r="L34" s="165" t="str">
        <f>IF(AND(L31="〇",税額計算情報!$B$6&lt;&gt;0,税額計算情報!$C$6&lt;&gt;0,基礎情報入力シート!$E$7&lt;作業・変換!K$48),"〇","／")</f>
        <v>／</v>
      </c>
      <c r="M34" s="165" t="str">
        <f>IF(AND(M31="〇",税額計算情報!$B$6&lt;&gt;0,税額計算情報!$C$6&lt;&gt;0,基礎情報入力シート!$E$7&lt;作業・変換!L$48),"〇","／")</f>
        <v>／</v>
      </c>
      <c r="N34" s="165" t="str">
        <f>IF(AND(N31="〇",税額計算情報!$B$6&lt;&gt;0,税額計算情報!$C$6&lt;&gt;0,基礎情報入力シート!$E$7&lt;作業・変換!M$48),"〇","／")</f>
        <v>／</v>
      </c>
      <c r="O34" s="166" t="str">
        <f>IF(AND(O31="〇",税額計算情報!$B$6&lt;&gt;0,税額計算情報!$C$6&lt;&gt;0,基礎情報入力シート!$E$7&lt;作業・変換!N$48),"〇","／")</f>
        <v>／</v>
      </c>
      <c r="P34" s="39">
        <f>COUNTIF(D34:O34,"〇")</f>
        <v>0</v>
      </c>
      <c r="Q34" s="323">
        <f>K$30*税額計算情報!$C6*(P34/12)</f>
        <v>0</v>
      </c>
      <c r="R34" s="324"/>
      <c r="S34" s="323">
        <f>税額計算情報!B6*(1-基礎情報入力シート!$K$26/10)*(P34/12)*IF(基礎情報入力シート!$E$28=1,1-基礎情報入力シート!$K$28,1)</f>
        <v>0</v>
      </c>
      <c r="T34" s="324"/>
      <c r="U34" s="36">
        <f>Q34+S34</f>
        <v>0</v>
      </c>
    </row>
    <row r="35" spans="1:21">
      <c r="A35" s="342" t="str">
        <f>基礎情報入力シート!F6</f>
        <v/>
      </c>
      <c r="B35" s="345" t="str">
        <f>IF(COUNT(基礎情報入力シート!$F$5)=1,基礎情報入力シート!$F$5,"-")</f>
        <v>-</v>
      </c>
      <c r="C35" s="388">
        <f>基礎情報入力シート!F7</f>
        <v>0</v>
      </c>
      <c r="D35" s="389"/>
      <c r="E35" s="389"/>
      <c r="F35" s="390" t="str">
        <f>基礎情報入力シート!$A$32&amp;"："</f>
        <v>所得割基礎額：</v>
      </c>
      <c r="G35" s="390"/>
      <c r="H35" s="390"/>
      <c r="I35" s="390"/>
      <c r="J35" s="390"/>
      <c r="K35" s="385">
        <f>基礎情報入力シート!$F$32</f>
        <v>0</v>
      </c>
      <c r="L35" s="386"/>
      <c r="M35" s="386"/>
      <c r="N35" s="386"/>
      <c r="O35" s="387"/>
      <c r="P35" s="206"/>
      <c r="Q35" s="381" t="str">
        <f>IF(基礎情報入力シート!F27,"非自発的失業者減免適用","＊＊＊＊＊")</f>
        <v>＊＊＊＊＊</v>
      </c>
      <c r="R35" s="317"/>
      <c r="S35" s="316" t="str">
        <f>IF(AND(基礎情報入力シート!$F$28=1,基礎情報入力シート!$K$28&gt;0),"未就学児軽減適用","＊＊＊＊＊")&amp;"／"&amp;IF(AND(基礎情報入力シート!$F$29=1,基礎情報入力シート!$K$29&gt;0),"子ども分軽減適用","＊＊＊＊＊")</f>
        <v>＊＊＊＊＊／＊＊＊＊＊</v>
      </c>
      <c r="T35" s="317"/>
      <c r="U35" s="205">
        <f>SUM(U36:U39)</f>
        <v>0</v>
      </c>
    </row>
    <row r="36" spans="1:21" ht="16.149999999999999" customHeight="1">
      <c r="A36" s="343"/>
      <c r="B36" s="346"/>
      <c r="C36" s="209" t="str">
        <f>税額計算情報!A3</f>
        <v>医療分</v>
      </c>
      <c r="D36" s="210" t="str">
        <f>IF(AND(COUNT(基礎情報入力シート!$F$7)=1,基礎情報入力シート!$F$7&gt;作業・変換!C$51,基礎情報入力シート!$F$7&lt;作業・変換!C$47),"〇","／")</f>
        <v>／</v>
      </c>
      <c r="E36" s="210" t="str">
        <f>IF(AND(COUNT(基礎情報入力シート!$F$7)=1,基礎情報入力シート!$F$7&gt;作業・変換!D$51,基礎情報入力シート!$F$7&lt;作業・変換!D$47),"〇","／")</f>
        <v>／</v>
      </c>
      <c r="F36" s="210" t="str">
        <f>IF(AND(COUNT(基礎情報入力シート!$F$7)=1,基礎情報入力シート!$F$7&gt;作業・変換!E$51,基礎情報入力シート!$F$7&lt;作業・変換!E$47),"〇","／")</f>
        <v>／</v>
      </c>
      <c r="G36" s="210" t="str">
        <f>IF(AND(COUNT(基礎情報入力シート!$F$7)=1,基礎情報入力シート!$F$7&gt;作業・変換!F$51,基礎情報入力シート!$F$7&lt;作業・変換!F$47),"〇","／")</f>
        <v>／</v>
      </c>
      <c r="H36" s="210" t="str">
        <f>IF(AND(COUNT(基礎情報入力シート!$F$7)=1,基礎情報入力シート!$F$7&gt;作業・変換!G$51,基礎情報入力シート!$F$7&lt;作業・変換!G$47),"〇","／")</f>
        <v>／</v>
      </c>
      <c r="I36" s="210" t="str">
        <f>IF(AND(COUNT(基礎情報入力シート!$F$7)=1,基礎情報入力シート!$F$7&gt;作業・変換!H$51,基礎情報入力シート!$F$7&lt;作業・変換!H$47),"〇","／")</f>
        <v>／</v>
      </c>
      <c r="J36" s="210" t="str">
        <f>IF(AND(COUNT(基礎情報入力シート!$F$7)=1,基礎情報入力シート!$F$7&gt;作業・変換!I$51,基礎情報入力シート!$F$7&lt;作業・変換!I$47),"〇","／")</f>
        <v>／</v>
      </c>
      <c r="K36" s="210" t="str">
        <f>IF(AND(COUNT(基礎情報入力シート!$F$7)=1,基礎情報入力シート!$F$7&gt;作業・変換!J$51,基礎情報入力シート!$F$7&lt;作業・変換!J$47),"〇","／")</f>
        <v>／</v>
      </c>
      <c r="L36" s="210" t="str">
        <f>IF(AND(COUNT(基礎情報入力シート!$F$7)=1,基礎情報入力シート!$F$7&gt;作業・変換!K$51,基礎情報入力シート!$F$7&lt;作業・変換!K$47),"〇","／")</f>
        <v>／</v>
      </c>
      <c r="M36" s="210" t="str">
        <f>IF(AND(COUNT(基礎情報入力シート!$F$7)=1,基礎情報入力シート!$F$7&gt;作業・変換!L$51,基礎情報入力シート!$F$7&lt;作業・変換!L$47),"〇","／")</f>
        <v>／</v>
      </c>
      <c r="N36" s="210" t="str">
        <f>IF(AND(COUNT(基礎情報入力シート!$F$7)=1,基礎情報入力シート!$F$7&gt;作業・変換!M$51,基礎情報入力シート!$F$7&lt;作業・変換!M$47),"〇","／")</f>
        <v>／</v>
      </c>
      <c r="O36" s="211" t="str">
        <f>IF(AND(COUNT(基礎情報入力シート!$F$7)=1,基礎情報入力シート!$F$7&gt;作業・変換!N$51,基礎情報入力シート!$F$7&lt;作業・変換!N$47),"〇","／")</f>
        <v>／</v>
      </c>
      <c r="P36" s="38">
        <f>COUNTIF(D36:O36,"〇")</f>
        <v>0</v>
      </c>
      <c r="Q36" s="321">
        <f>K$35*税額計算情報!$C3*(P36/12)</f>
        <v>0</v>
      </c>
      <c r="R36" s="322"/>
      <c r="S36" s="321">
        <f>税額計算情報!B3*(1-基礎情報入力シート!$K$26/10)*(P36/12)*IF(基礎情報入力シート!$F$28=1,1-基礎情報入力シート!$K$28,1)</f>
        <v>0</v>
      </c>
      <c r="T36" s="322"/>
      <c r="U36" s="34">
        <f>Q36+S36</f>
        <v>0</v>
      </c>
    </row>
    <row r="37" spans="1:21" ht="16.149999999999999" customHeight="1">
      <c r="A37" s="343"/>
      <c r="B37" s="346"/>
      <c r="C37" s="33" t="str">
        <f>税額計算情報!A4</f>
        <v>後期分</v>
      </c>
      <c r="D37" s="164" t="str">
        <f>IF(D36="〇","〇","／")</f>
        <v>／</v>
      </c>
      <c r="E37" s="164" t="str">
        <f t="shared" ref="E37" si="23">IF(E36="〇","〇","／")</f>
        <v>／</v>
      </c>
      <c r="F37" s="164" t="str">
        <f t="shared" ref="F37" si="24">IF(F36="〇","〇","／")</f>
        <v>／</v>
      </c>
      <c r="G37" s="164" t="str">
        <f t="shared" ref="G37" si="25">IF(G36="〇","〇","／")</f>
        <v>／</v>
      </c>
      <c r="H37" s="164" t="str">
        <f t="shared" ref="H37" si="26">IF(H36="〇","〇","／")</f>
        <v>／</v>
      </c>
      <c r="I37" s="164" t="str">
        <f t="shared" ref="I37" si="27">IF(I36="〇","〇","／")</f>
        <v>／</v>
      </c>
      <c r="J37" s="164" t="str">
        <f t="shared" ref="J37" si="28">IF(J36="〇","〇","／")</f>
        <v>／</v>
      </c>
      <c r="K37" s="164" t="str">
        <f t="shared" ref="K37" si="29">IF(K36="〇","〇","／")</f>
        <v>／</v>
      </c>
      <c r="L37" s="164" t="str">
        <f t="shared" ref="L37" si="30">IF(L36="〇","〇","／")</f>
        <v>／</v>
      </c>
      <c r="M37" s="164" t="str">
        <f t="shared" ref="M37" si="31">IF(M36="〇","〇","／")</f>
        <v>／</v>
      </c>
      <c r="N37" s="164" t="str">
        <f t="shared" ref="N37" si="32">IF(N36="〇","〇","／")</f>
        <v>／</v>
      </c>
      <c r="O37" s="167" t="str">
        <f t="shared" ref="O37" si="33">IF(O36="〇","〇","／")</f>
        <v>／</v>
      </c>
      <c r="P37" s="38">
        <f>COUNTIF(D37:O37,"〇")</f>
        <v>0</v>
      </c>
      <c r="Q37" s="321">
        <f>K$35*税額計算情報!$C4*(P37/12)</f>
        <v>0</v>
      </c>
      <c r="R37" s="322"/>
      <c r="S37" s="321">
        <f>税額計算情報!B4*(1-基礎情報入力シート!$K$26/10)*(P37/12)*IF(基礎情報入力シート!$F$28=1,1-基礎情報入力シート!$K$28,1)</f>
        <v>0</v>
      </c>
      <c r="T37" s="322"/>
      <c r="U37" s="34">
        <f>Q37+S37</f>
        <v>0</v>
      </c>
    </row>
    <row r="38" spans="1:21" ht="16.149999999999999" customHeight="1">
      <c r="A38" s="343"/>
      <c r="B38" s="346"/>
      <c r="C38" s="33" t="str">
        <f>税額計算情報!A5</f>
        <v>介護分</v>
      </c>
      <c r="D38" s="164" t="str">
        <f>IF(AND(D36="〇",作業・変換!C$50&lt;基礎情報入力シート!$F$7,基礎情報入力シート!$F$7&lt;作業・変換!C$49),"〇","／")</f>
        <v>／</v>
      </c>
      <c r="E38" s="164" t="str">
        <f>IF(AND(E36="〇",作業・変換!D$50&lt;基礎情報入力シート!$F$7,基礎情報入力シート!$F$7&lt;作業・変換!D$49),"〇","／")</f>
        <v>／</v>
      </c>
      <c r="F38" s="164" t="str">
        <f>IF(AND(F36="〇",作業・変換!E$50&lt;基礎情報入力シート!$F$7,基礎情報入力シート!$F$7&lt;作業・変換!E$49),"〇","／")</f>
        <v>／</v>
      </c>
      <c r="G38" s="164" t="str">
        <f>IF(AND(G36="〇",作業・変換!F$50&lt;基礎情報入力シート!$F$7,基礎情報入力シート!$F$7&lt;作業・変換!F$49),"〇","／")</f>
        <v>／</v>
      </c>
      <c r="H38" s="164" t="str">
        <f>IF(AND(H36="〇",作業・変換!G$50&lt;基礎情報入力シート!$F$7,基礎情報入力シート!$F$7&lt;作業・変換!G$49),"〇","／")</f>
        <v>／</v>
      </c>
      <c r="I38" s="164" t="str">
        <f>IF(AND(I36="〇",作業・変換!H$50&lt;基礎情報入力シート!$F$7,基礎情報入力シート!$F$7&lt;作業・変換!H$49),"〇","／")</f>
        <v>／</v>
      </c>
      <c r="J38" s="164" t="str">
        <f>IF(AND(J36="〇",作業・変換!I$50&lt;基礎情報入力シート!$F$7,基礎情報入力シート!$F$7&lt;作業・変換!I$49),"〇","／")</f>
        <v>／</v>
      </c>
      <c r="K38" s="164" t="str">
        <f>IF(AND(K36="〇",作業・変換!J$50&lt;基礎情報入力シート!$F$7,基礎情報入力シート!$F$7&lt;作業・変換!J$49),"〇","／")</f>
        <v>／</v>
      </c>
      <c r="L38" s="164" t="str">
        <f>IF(AND(L36="〇",作業・変換!K$50&lt;基礎情報入力シート!$F$7,基礎情報入力シート!$F$7&lt;作業・変換!K$49),"〇","／")</f>
        <v>／</v>
      </c>
      <c r="M38" s="164" t="str">
        <f>IF(AND(M36="〇",作業・変換!L$50&lt;基礎情報入力シート!$F$7,基礎情報入力シート!$F$7&lt;作業・変換!L$49),"〇","／")</f>
        <v>／</v>
      </c>
      <c r="N38" s="164" t="str">
        <f>IF(AND(N36="〇",作業・変換!M$50&lt;基礎情報入力シート!$F$7,基礎情報入力シート!$F$7&lt;作業・変換!M$49),"〇","／")</f>
        <v>／</v>
      </c>
      <c r="O38" s="167" t="str">
        <f>IF(AND(O36="〇",作業・変換!N$50&lt;基礎情報入力シート!$F$7,基礎情報入力シート!$F$7&lt;作業・変換!N$49),"〇","／")</f>
        <v>／</v>
      </c>
      <c r="P38" s="38">
        <f>COUNTIF(D38:O38,"〇")</f>
        <v>0</v>
      </c>
      <c r="Q38" s="321">
        <f>K$35*税額計算情報!$C5*(P38/12)</f>
        <v>0</v>
      </c>
      <c r="R38" s="322"/>
      <c r="S38" s="321">
        <f>税額計算情報!B5*(1-基礎情報入力シート!$K$26/10)*(P38/12)*IF(基礎情報入力シート!$F$28=1,1-基礎情報入力シート!$K$28,1)</f>
        <v>0</v>
      </c>
      <c r="T38" s="322"/>
      <c r="U38" s="34">
        <f>Q38+S38</f>
        <v>0</v>
      </c>
    </row>
    <row r="39" spans="1:21" ht="16.149999999999999" customHeight="1" thickBot="1">
      <c r="A39" s="344"/>
      <c r="B39" s="347"/>
      <c r="C39" s="35" t="str">
        <f>税額計算情報!A6</f>
        <v>子ども分</v>
      </c>
      <c r="D39" s="165" t="str">
        <f>IF(AND(D36="〇",税額計算情報!$B$6&lt;&gt;0,税額計算情報!$C$6&lt;&gt;0,基礎情報入力シート!$F$7&lt;作業・変換!C$48),"〇","／")</f>
        <v>／</v>
      </c>
      <c r="E39" s="165" t="str">
        <f>IF(AND(E36="〇",税額計算情報!$B$6&lt;&gt;0,税額計算情報!$C$6&lt;&gt;0,基礎情報入力シート!$F$7&lt;作業・変換!D$48),"〇","／")</f>
        <v>／</v>
      </c>
      <c r="F39" s="165" t="str">
        <f>IF(AND(F36="〇",税額計算情報!$B$6&lt;&gt;0,税額計算情報!$C$6&lt;&gt;0,基礎情報入力シート!$F$7&lt;作業・変換!E$48),"〇","／")</f>
        <v>／</v>
      </c>
      <c r="G39" s="165" t="str">
        <f>IF(AND(G36="〇",税額計算情報!$B$6&lt;&gt;0,税額計算情報!$C$6&lt;&gt;0,基礎情報入力シート!$F$7&lt;作業・変換!F$48),"〇","／")</f>
        <v>／</v>
      </c>
      <c r="H39" s="165" t="str">
        <f>IF(AND(H36="〇",税額計算情報!$B$6&lt;&gt;0,税額計算情報!$C$6&lt;&gt;0,基礎情報入力シート!$F$7&lt;作業・変換!G$48),"〇","／")</f>
        <v>／</v>
      </c>
      <c r="I39" s="165" t="str">
        <f>IF(AND(I36="〇",税額計算情報!$B$6&lt;&gt;0,税額計算情報!$C$6&lt;&gt;0,基礎情報入力シート!$F$7&lt;作業・変換!H$48),"〇","／")</f>
        <v>／</v>
      </c>
      <c r="J39" s="165" t="str">
        <f>IF(AND(J36="〇",税額計算情報!$B$6&lt;&gt;0,税額計算情報!$C$6&lt;&gt;0,基礎情報入力シート!$F$7&lt;作業・変換!I$48),"〇","／")</f>
        <v>／</v>
      </c>
      <c r="K39" s="165" t="str">
        <f>IF(AND(K36="〇",税額計算情報!$B$6&lt;&gt;0,税額計算情報!$C$6&lt;&gt;0,基礎情報入力シート!$F$7&lt;作業・変換!J$48),"〇","／")</f>
        <v>／</v>
      </c>
      <c r="L39" s="165" t="str">
        <f>IF(AND(L36="〇",税額計算情報!$B$6&lt;&gt;0,税額計算情報!$C$6&lt;&gt;0,基礎情報入力シート!$F$7&lt;作業・変換!K$48),"〇","／")</f>
        <v>／</v>
      </c>
      <c r="M39" s="165" t="str">
        <f>IF(AND(M36="〇",税額計算情報!$B$6&lt;&gt;0,税額計算情報!$C$6&lt;&gt;0,基礎情報入力シート!$F$7&lt;作業・変換!L$48),"〇","／")</f>
        <v>／</v>
      </c>
      <c r="N39" s="165" t="str">
        <f>IF(AND(N36="〇",税額計算情報!$B$6&lt;&gt;0,税額計算情報!$C$6&lt;&gt;0,基礎情報入力シート!$F$7&lt;作業・変換!M$48),"〇","／")</f>
        <v>／</v>
      </c>
      <c r="O39" s="166" t="str">
        <f>IF(AND(O36="〇",税額計算情報!$B$6&lt;&gt;0,税額計算情報!$C$6&lt;&gt;0,基礎情報入力シート!$F$7&lt;作業・変換!N$48),"〇","／")</f>
        <v>／</v>
      </c>
      <c r="P39" s="39">
        <f>COUNTIF(D39:O39,"〇")</f>
        <v>0</v>
      </c>
      <c r="Q39" s="323">
        <f>K$35*税額計算情報!$C6*(P39/12)</f>
        <v>0</v>
      </c>
      <c r="R39" s="324"/>
      <c r="S39" s="323">
        <f>税額計算情報!B6*(1-基礎情報入力シート!$K$26/10)*(P39/12)*IF(基礎情報入力シート!$F$28=1,1-基礎情報入力シート!$K$28,1)</f>
        <v>0</v>
      </c>
      <c r="T39" s="324"/>
      <c r="U39" s="36">
        <f>Q39+S39</f>
        <v>0</v>
      </c>
    </row>
    <row r="40" spans="1:21">
      <c r="A40" s="348" t="str">
        <f>基礎情報入力シート!G6</f>
        <v/>
      </c>
      <c r="B40" s="351" t="str">
        <f>IF(COUNT(基礎情報入力シート!$G$5)=1,基礎情報入力シート!$G$5,"-")</f>
        <v>-</v>
      </c>
      <c r="C40" s="388">
        <f>基礎情報入力シート!G7</f>
        <v>0</v>
      </c>
      <c r="D40" s="389"/>
      <c r="E40" s="389"/>
      <c r="F40" s="390" t="str">
        <f>基礎情報入力シート!$A$32&amp;"："</f>
        <v>所得割基礎額：</v>
      </c>
      <c r="G40" s="390"/>
      <c r="H40" s="390"/>
      <c r="I40" s="390"/>
      <c r="J40" s="390"/>
      <c r="K40" s="385">
        <f>基礎情報入力シート!$G$32</f>
        <v>0</v>
      </c>
      <c r="L40" s="386"/>
      <c r="M40" s="386"/>
      <c r="N40" s="386"/>
      <c r="O40" s="387"/>
      <c r="P40" s="206"/>
      <c r="Q40" s="381" t="str">
        <f>IF(基礎情報入力シート!G27,"非自発的失業者減免適用","＊＊＊＊＊")</f>
        <v>＊＊＊＊＊</v>
      </c>
      <c r="R40" s="317"/>
      <c r="S40" s="318" t="str">
        <f>IF(AND(基礎情報入力シート!$G$28=1,基礎情報入力シート!$K$28&gt;0),"未就学児軽減適用","＊＊＊＊＊")&amp;"／"&amp;IF(AND(基礎情報入力シート!$G$29=1,基礎情報入力シート!$K$29&gt;0),"子ども分軽減適用","＊＊＊＊＊")</f>
        <v>＊＊＊＊＊／＊＊＊＊＊</v>
      </c>
      <c r="T40" s="317"/>
      <c r="U40" s="205">
        <f>SUM(U41:U44)</f>
        <v>0</v>
      </c>
    </row>
    <row r="41" spans="1:21" ht="16.149999999999999" customHeight="1">
      <c r="A41" s="349"/>
      <c r="B41" s="352"/>
      <c r="C41" s="209" t="str">
        <f>税額計算情報!A3</f>
        <v>医療分</v>
      </c>
      <c r="D41" s="210" t="str">
        <f>IF(AND(COUNT(基礎情報入力シート!$G$7)=1,基礎情報入力シート!$G$7&gt;作業・変換!C$51,基礎情報入力シート!$G$7&lt;作業・変換!C$47),"〇","／")</f>
        <v>／</v>
      </c>
      <c r="E41" s="210" t="str">
        <f>IF(AND(COUNT(基礎情報入力シート!$G$7)=1,基礎情報入力シート!$G$7&gt;作業・変換!D$51,基礎情報入力シート!$G$7&lt;作業・変換!D$47),"〇","／")</f>
        <v>／</v>
      </c>
      <c r="F41" s="210" t="str">
        <f>IF(AND(COUNT(基礎情報入力シート!$G$7)=1,基礎情報入力シート!$G$7&gt;作業・変換!E$51,基礎情報入力シート!$G$7&lt;作業・変換!E$47),"〇","／")</f>
        <v>／</v>
      </c>
      <c r="G41" s="210" t="str">
        <f>IF(AND(COUNT(基礎情報入力シート!$G$7)=1,基礎情報入力シート!$G$7&gt;作業・変換!F$51,基礎情報入力シート!$G$7&lt;作業・変換!F$47),"〇","／")</f>
        <v>／</v>
      </c>
      <c r="H41" s="210" t="str">
        <f>IF(AND(COUNT(基礎情報入力シート!$G$7)=1,基礎情報入力シート!$G$7&gt;作業・変換!G$51,基礎情報入力シート!$G$7&lt;作業・変換!G$47),"〇","／")</f>
        <v>／</v>
      </c>
      <c r="I41" s="210" t="str">
        <f>IF(AND(COUNT(基礎情報入力シート!$G$7)=1,基礎情報入力シート!$G$7&gt;作業・変換!H$51,基礎情報入力シート!$G$7&lt;作業・変換!H$47),"〇","／")</f>
        <v>／</v>
      </c>
      <c r="J41" s="210" t="str">
        <f>IF(AND(COUNT(基礎情報入力シート!$G$7)=1,基礎情報入力シート!$G$7&gt;作業・変換!I$51,基礎情報入力シート!$G$7&lt;作業・変換!I$47),"〇","／")</f>
        <v>／</v>
      </c>
      <c r="K41" s="210" t="str">
        <f>IF(AND(COUNT(基礎情報入力シート!$G$7)=1,基礎情報入力シート!$G$7&gt;作業・変換!J$51,基礎情報入力シート!$G$7&lt;作業・変換!J$47),"〇","／")</f>
        <v>／</v>
      </c>
      <c r="L41" s="210" t="str">
        <f>IF(AND(COUNT(基礎情報入力シート!$G$7)=1,基礎情報入力シート!$G$7&gt;作業・変換!K$51,基礎情報入力シート!$G$7&lt;作業・変換!K$47),"〇","／")</f>
        <v>／</v>
      </c>
      <c r="M41" s="210" t="str">
        <f>IF(AND(COUNT(基礎情報入力シート!$G$7)=1,基礎情報入力シート!$G$7&gt;作業・変換!L$51,基礎情報入力シート!$G$7&lt;作業・変換!L$47),"〇","／")</f>
        <v>／</v>
      </c>
      <c r="N41" s="210" t="str">
        <f>IF(AND(COUNT(基礎情報入力シート!$G$7)=1,基礎情報入力シート!$G$7&gt;作業・変換!M$51,基礎情報入力シート!$G$7&lt;作業・変換!M$47),"〇","／")</f>
        <v>／</v>
      </c>
      <c r="O41" s="211" t="str">
        <f>IF(AND(COUNT(基礎情報入力シート!$G$7)=1,基礎情報入力シート!$G$7&gt;作業・変換!N$51,基礎情報入力シート!$G$7&lt;作業・変換!N$47),"〇","／")</f>
        <v>／</v>
      </c>
      <c r="P41" s="38">
        <f>COUNTIF(D41:O41,"〇")</f>
        <v>0</v>
      </c>
      <c r="Q41" s="321">
        <f>K$40*税額計算情報!$C3*(P41/12)</f>
        <v>0</v>
      </c>
      <c r="R41" s="322"/>
      <c r="S41" s="334">
        <f>税額計算情報!B3*(1-基礎情報入力シート!$K$26/10)*(P41/12)*IF(基礎情報入力シート!$G$28=1,1-基礎情報入力シート!$K$28,1)</f>
        <v>0</v>
      </c>
      <c r="T41" s="335"/>
      <c r="U41" s="34">
        <f>Q41+S41</f>
        <v>0</v>
      </c>
    </row>
    <row r="42" spans="1:21" ht="16.149999999999999" customHeight="1">
      <c r="A42" s="349"/>
      <c r="B42" s="352"/>
      <c r="C42" s="33" t="str">
        <f>税額計算情報!A4</f>
        <v>後期分</v>
      </c>
      <c r="D42" s="164" t="str">
        <f>IF(D41="〇","〇","／")</f>
        <v>／</v>
      </c>
      <c r="E42" s="164" t="str">
        <f t="shared" ref="E42" si="34">IF(E41="〇","〇","／")</f>
        <v>／</v>
      </c>
      <c r="F42" s="164" t="str">
        <f t="shared" ref="F42" si="35">IF(F41="〇","〇","／")</f>
        <v>／</v>
      </c>
      <c r="G42" s="164" t="str">
        <f t="shared" ref="G42" si="36">IF(G41="〇","〇","／")</f>
        <v>／</v>
      </c>
      <c r="H42" s="164" t="str">
        <f t="shared" ref="H42" si="37">IF(H41="〇","〇","／")</f>
        <v>／</v>
      </c>
      <c r="I42" s="164" t="str">
        <f t="shared" ref="I42" si="38">IF(I41="〇","〇","／")</f>
        <v>／</v>
      </c>
      <c r="J42" s="164" t="str">
        <f t="shared" ref="J42" si="39">IF(J41="〇","〇","／")</f>
        <v>／</v>
      </c>
      <c r="K42" s="164" t="str">
        <f t="shared" ref="K42" si="40">IF(K41="〇","〇","／")</f>
        <v>／</v>
      </c>
      <c r="L42" s="164" t="str">
        <f t="shared" ref="L42" si="41">IF(L41="〇","〇","／")</f>
        <v>／</v>
      </c>
      <c r="M42" s="164" t="str">
        <f t="shared" ref="M42" si="42">IF(M41="〇","〇","／")</f>
        <v>／</v>
      </c>
      <c r="N42" s="164" t="str">
        <f t="shared" ref="N42" si="43">IF(N41="〇","〇","／")</f>
        <v>／</v>
      </c>
      <c r="O42" s="167" t="str">
        <f t="shared" ref="O42" si="44">IF(O41="〇","〇","／")</f>
        <v>／</v>
      </c>
      <c r="P42" s="38">
        <f>COUNTIF(D42:O42,"〇")</f>
        <v>0</v>
      </c>
      <c r="Q42" s="321">
        <f>K$40*税額計算情報!$C4*(P42/12)</f>
        <v>0</v>
      </c>
      <c r="R42" s="322"/>
      <c r="S42" s="336">
        <f>税額計算情報!B4*(1-基礎情報入力シート!$K$26/10)*(P42/12)*IF(基礎情報入力シート!$G$28=1,1-基礎情報入力シート!$K$28,1)</f>
        <v>0</v>
      </c>
      <c r="T42" s="322"/>
      <c r="U42" s="34">
        <f>Q42+S42</f>
        <v>0</v>
      </c>
    </row>
    <row r="43" spans="1:21" ht="16.149999999999999" customHeight="1">
      <c r="A43" s="349"/>
      <c r="B43" s="352"/>
      <c r="C43" s="33" t="str">
        <f>税額計算情報!A5</f>
        <v>介護分</v>
      </c>
      <c r="D43" s="164" t="str">
        <f>IF(AND(D41="〇",作業・変換!C$50&lt;基礎情報入力シート!$G$7,基礎情報入力シート!$G$7&lt;作業・変換!C$49),"〇","／")</f>
        <v>／</v>
      </c>
      <c r="E43" s="164" t="str">
        <f>IF(AND(E41="〇",作業・変換!D$50&lt;基礎情報入力シート!$G$7,基礎情報入力シート!$G$7&lt;作業・変換!D$49),"〇","／")</f>
        <v>／</v>
      </c>
      <c r="F43" s="164" t="str">
        <f>IF(AND(F41="〇",作業・変換!E$50&lt;基礎情報入力シート!$G$7,基礎情報入力シート!$G$7&lt;作業・変換!E$49),"〇","／")</f>
        <v>／</v>
      </c>
      <c r="G43" s="164" t="str">
        <f>IF(AND(G41="〇",作業・変換!F$50&lt;基礎情報入力シート!$G$7,基礎情報入力シート!$G$7&lt;作業・変換!F$49),"〇","／")</f>
        <v>／</v>
      </c>
      <c r="H43" s="164" t="str">
        <f>IF(AND(H41="〇",作業・変換!G$50&lt;基礎情報入力シート!$G$7,基礎情報入力シート!$G$7&lt;作業・変換!G$49),"〇","／")</f>
        <v>／</v>
      </c>
      <c r="I43" s="164" t="str">
        <f>IF(AND(I41="〇",作業・変換!H$50&lt;基礎情報入力シート!$G$7,基礎情報入力シート!$G$7&lt;作業・変換!H$49),"〇","／")</f>
        <v>／</v>
      </c>
      <c r="J43" s="164" t="str">
        <f>IF(AND(J41="〇",作業・変換!I$50&lt;基礎情報入力シート!$G$7,基礎情報入力シート!$G$7&lt;作業・変換!I$49),"〇","／")</f>
        <v>／</v>
      </c>
      <c r="K43" s="164" t="str">
        <f>IF(AND(K41="〇",作業・変換!J$50&lt;基礎情報入力シート!$G$7,基礎情報入力シート!$G$7&lt;作業・変換!J$49),"〇","／")</f>
        <v>／</v>
      </c>
      <c r="L43" s="164" t="str">
        <f>IF(AND(L41="〇",作業・変換!K$50&lt;基礎情報入力シート!$G$7,基礎情報入力シート!$G$7&lt;作業・変換!K$49),"〇","／")</f>
        <v>／</v>
      </c>
      <c r="M43" s="164" t="str">
        <f>IF(AND(M41="〇",作業・変換!L$50&lt;基礎情報入力シート!$G$7,基礎情報入力シート!$G$7&lt;作業・変換!L$49),"〇","／")</f>
        <v>／</v>
      </c>
      <c r="N43" s="164" t="str">
        <f>IF(AND(N41="〇",作業・変換!M$50&lt;基礎情報入力シート!$G$7,基礎情報入力シート!$G$7&lt;作業・変換!M$49),"〇","／")</f>
        <v>／</v>
      </c>
      <c r="O43" s="167" t="str">
        <f>IF(AND(O41="〇",作業・変換!N$50&lt;基礎情報入力シート!$G$7,基礎情報入力シート!$G$7&lt;作業・変換!N$49),"〇","／")</f>
        <v>／</v>
      </c>
      <c r="P43" s="38">
        <f>COUNTIF(D43:O43,"〇")</f>
        <v>0</v>
      </c>
      <c r="Q43" s="321">
        <f>K$40*税額計算情報!$C5*(P43/12)</f>
        <v>0</v>
      </c>
      <c r="R43" s="322"/>
      <c r="S43" s="336">
        <f>税額計算情報!B5*(1-基礎情報入力シート!$K$26/10)*(P43/12)*IF(基礎情報入力シート!$G$28=1,1-基礎情報入力シート!$K$28,1)</f>
        <v>0</v>
      </c>
      <c r="T43" s="322"/>
      <c r="U43" s="34">
        <f>Q43+S43</f>
        <v>0</v>
      </c>
    </row>
    <row r="44" spans="1:21" ht="16.149999999999999" customHeight="1" thickBot="1">
      <c r="A44" s="350"/>
      <c r="B44" s="350"/>
      <c r="C44" s="35" t="str">
        <f>税額計算情報!A6</f>
        <v>子ども分</v>
      </c>
      <c r="D44" s="207" t="str">
        <f>IF(AND(D41="〇",税額計算情報!$B$6&lt;&gt;0,税額計算情報!$C$6&lt;&gt;0,基礎情報入力シート!$G$7&lt;作業・変換!C$48),"〇","／")</f>
        <v>／</v>
      </c>
      <c r="E44" s="207" t="str">
        <f>IF(AND(E41="〇",税額計算情報!$B$6&lt;&gt;0,税額計算情報!$C$6&lt;&gt;0,基礎情報入力シート!$G$7&lt;作業・変換!D$48),"〇","／")</f>
        <v>／</v>
      </c>
      <c r="F44" s="207" t="str">
        <f>IF(AND(F41="〇",税額計算情報!$B$6&lt;&gt;0,税額計算情報!$C$6&lt;&gt;0,基礎情報入力シート!$G$7&lt;作業・変換!E$48),"〇","／")</f>
        <v>／</v>
      </c>
      <c r="G44" s="207" t="str">
        <f>IF(AND(G41="〇",税額計算情報!$B$6&lt;&gt;0,税額計算情報!$C$6&lt;&gt;0,基礎情報入力シート!$G$7&lt;作業・変換!F$48),"〇","／")</f>
        <v>／</v>
      </c>
      <c r="H44" s="207" t="str">
        <f>IF(AND(H41="〇",税額計算情報!$B$6&lt;&gt;0,税額計算情報!$C$6&lt;&gt;0,基礎情報入力シート!$G$7&lt;作業・変換!G$48),"〇","／")</f>
        <v>／</v>
      </c>
      <c r="I44" s="207" t="str">
        <f>IF(AND(I41="〇",税額計算情報!$B$6&lt;&gt;0,税額計算情報!$C$6&lt;&gt;0,基礎情報入力シート!$G$7&lt;作業・変換!H$48),"〇","／")</f>
        <v>／</v>
      </c>
      <c r="J44" s="207" t="str">
        <f>IF(AND(J41="〇",税額計算情報!$B$6&lt;&gt;0,税額計算情報!$C$6&lt;&gt;0,基礎情報入力シート!$G$7&lt;作業・変換!I$48),"〇","／")</f>
        <v>／</v>
      </c>
      <c r="K44" s="207" t="str">
        <f>IF(AND(K41="〇",税額計算情報!$B$6&lt;&gt;0,税額計算情報!$C$6&lt;&gt;0,基礎情報入力シート!$G$7&lt;作業・変換!J$48),"〇","／")</f>
        <v>／</v>
      </c>
      <c r="L44" s="207" t="str">
        <f>IF(AND(L41="〇",税額計算情報!$B$6&lt;&gt;0,税額計算情報!$C$6&lt;&gt;0,基礎情報入力シート!$G$7&lt;作業・変換!K$48),"〇","／")</f>
        <v>／</v>
      </c>
      <c r="M44" s="207" t="str">
        <f>IF(AND(M41="〇",税額計算情報!$B$6&lt;&gt;0,税額計算情報!$C$6&lt;&gt;0,基礎情報入力シート!$G$7&lt;作業・変換!L$48),"〇","／")</f>
        <v>／</v>
      </c>
      <c r="N44" s="207" t="str">
        <f>IF(AND(N41="〇",税額計算情報!$B$6&lt;&gt;0,税額計算情報!$C$6&lt;&gt;0,基礎情報入力シート!$G$7&lt;作業・変換!M$48),"〇","／")</f>
        <v>／</v>
      </c>
      <c r="O44" s="208" t="str">
        <f>IF(AND(O41="〇",税額計算情報!$B$6&lt;&gt;0,税額計算情報!$C$6&lt;&gt;0,基礎情報入力シート!$G$7&lt;作業・変換!N$48),"〇","／")</f>
        <v>／</v>
      </c>
      <c r="P44" s="39">
        <f>COUNTIF(D44:O44,"〇")</f>
        <v>0</v>
      </c>
      <c r="Q44" s="350">
        <f>K$40*税額計算情報!$C6*(P44/12)</f>
        <v>0</v>
      </c>
      <c r="R44" s="324"/>
      <c r="S44" s="337">
        <f>税額計算情報!B6*(1-基礎情報入力シート!$K$26/10)*(P44/12)*IF(基礎情報入力シート!$G$28=1,1-基礎情報入力シート!$K$28,1)</f>
        <v>0</v>
      </c>
      <c r="T44" s="324"/>
      <c r="U44" s="36">
        <f>Q44+S44</f>
        <v>0</v>
      </c>
    </row>
  </sheetData>
  <sheetProtection algorithmName="SHA-512" hashValue="KERcHK7ezTR4wOiktH3adceKQTQUt6rry5iTEpYBPmCyFdw5Uli0OAgBAc3uyUnEg6q2E3HMoZ4coADerXjwsQ==" saltValue="HYNYWBSbQKguKoYvzAvt5g==" spinCount="100000" sheet="1" objects="1" scenarios="1"/>
  <mergeCells count="151">
    <mergeCell ref="U4:U5"/>
    <mergeCell ref="U6:U7"/>
    <mergeCell ref="U8:U9"/>
    <mergeCell ref="A1:P1"/>
    <mergeCell ref="A14:P14"/>
    <mergeCell ref="D7:F7"/>
    <mergeCell ref="G7:I7"/>
    <mergeCell ref="J7:L7"/>
    <mergeCell ref="M7:O7"/>
    <mergeCell ref="D8:F8"/>
    <mergeCell ref="G8:I8"/>
    <mergeCell ref="J8:L8"/>
    <mergeCell ref="M8:O8"/>
    <mergeCell ref="B9:C9"/>
    <mergeCell ref="D3:F3"/>
    <mergeCell ref="G3:I3"/>
    <mergeCell ref="A3:C3"/>
    <mergeCell ref="D5:F5"/>
    <mergeCell ref="G5:I5"/>
    <mergeCell ref="J5:L5"/>
    <mergeCell ref="M5:O5"/>
    <mergeCell ref="J3:L3"/>
    <mergeCell ref="M3:O3"/>
    <mergeCell ref="D4:F4"/>
    <mergeCell ref="G4:I4"/>
    <mergeCell ref="J4:L4"/>
    <mergeCell ref="M4:O4"/>
    <mergeCell ref="A4:A5"/>
    <mergeCell ref="A6:A7"/>
    <mergeCell ref="A8:A9"/>
    <mergeCell ref="B7:C7"/>
    <mergeCell ref="B8:C8"/>
    <mergeCell ref="B4:C4"/>
    <mergeCell ref="B5:C5"/>
    <mergeCell ref="B6:C6"/>
    <mergeCell ref="M6:O6"/>
    <mergeCell ref="D6:F6"/>
    <mergeCell ref="G6:I6"/>
    <mergeCell ref="J6:L6"/>
    <mergeCell ref="Q4:R5"/>
    <mergeCell ref="Q6:R7"/>
    <mergeCell ref="Q8:R9"/>
    <mergeCell ref="Q3:R3"/>
    <mergeCell ref="Q12:R12"/>
    <mergeCell ref="K20:O20"/>
    <mergeCell ref="C40:E40"/>
    <mergeCell ref="C35:E35"/>
    <mergeCell ref="C30:E30"/>
    <mergeCell ref="C25:E25"/>
    <mergeCell ref="C20:E20"/>
    <mergeCell ref="K40:O40"/>
    <mergeCell ref="K35:O35"/>
    <mergeCell ref="K30:O30"/>
    <mergeCell ref="K25:O25"/>
    <mergeCell ref="F40:J40"/>
    <mergeCell ref="F35:J35"/>
    <mergeCell ref="F30:J30"/>
    <mergeCell ref="F25:J25"/>
    <mergeCell ref="D9:F9"/>
    <mergeCell ref="G9:I9"/>
    <mergeCell ref="J9:L9"/>
    <mergeCell ref="M9:O9"/>
    <mergeCell ref="F20:J20"/>
    <mergeCell ref="Q43:R43"/>
    <mergeCell ref="Q25:R25"/>
    <mergeCell ref="Q30:R30"/>
    <mergeCell ref="Q35:R35"/>
    <mergeCell ref="Q40:R40"/>
    <mergeCell ref="Q33:R33"/>
    <mergeCell ref="Q36:R36"/>
    <mergeCell ref="Q37:R37"/>
    <mergeCell ref="Q38:R38"/>
    <mergeCell ref="Q41:R41"/>
    <mergeCell ref="Q26:R26"/>
    <mergeCell ref="Q27:R27"/>
    <mergeCell ref="Q28:R28"/>
    <mergeCell ref="Q31:R31"/>
    <mergeCell ref="Q32:R32"/>
    <mergeCell ref="M10:O10"/>
    <mergeCell ref="Q10:R11"/>
    <mergeCell ref="U10:U11"/>
    <mergeCell ref="B11:C11"/>
    <mergeCell ref="D11:F11"/>
    <mergeCell ref="G11:I11"/>
    <mergeCell ref="J11:L11"/>
    <mergeCell ref="M11:O11"/>
    <mergeCell ref="Q42:R42"/>
    <mergeCell ref="Q20:R20"/>
    <mergeCell ref="Q21:R21"/>
    <mergeCell ref="Q22:R22"/>
    <mergeCell ref="Q23:R23"/>
    <mergeCell ref="B12:P12"/>
    <mergeCell ref="S33:T33"/>
    <mergeCell ref="S34:T34"/>
    <mergeCell ref="S36:T36"/>
    <mergeCell ref="S37:T37"/>
    <mergeCell ref="S38:T38"/>
    <mergeCell ref="S39:T39"/>
    <mergeCell ref="S3:T3"/>
    <mergeCell ref="S16:T16"/>
    <mergeCell ref="A30:A34"/>
    <mergeCell ref="B30:B34"/>
    <mergeCell ref="Q34:R34"/>
    <mergeCell ref="A35:A39"/>
    <mergeCell ref="B35:B39"/>
    <mergeCell ref="Q39:R39"/>
    <mergeCell ref="A40:A44"/>
    <mergeCell ref="B40:B44"/>
    <mergeCell ref="Q44:R44"/>
    <mergeCell ref="A20:A24"/>
    <mergeCell ref="B20:B24"/>
    <mergeCell ref="Q24:R24"/>
    <mergeCell ref="D16:O18"/>
    <mergeCell ref="P16:P19"/>
    <mergeCell ref="A25:A29"/>
    <mergeCell ref="B25:B29"/>
    <mergeCell ref="Q29:R29"/>
    <mergeCell ref="A10:A11"/>
    <mergeCell ref="B10:C10"/>
    <mergeCell ref="D10:F10"/>
    <mergeCell ref="G10:I10"/>
    <mergeCell ref="J10:L10"/>
    <mergeCell ref="S4:T5"/>
    <mergeCell ref="S6:T7"/>
    <mergeCell ref="S8:T9"/>
    <mergeCell ref="S10:T11"/>
    <mergeCell ref="S12:T12"/>
    <mergeCell ref="S41:T41"/>
    <mergeCell ref="S42:T42"/>
    <mergeCell ref="S43:T43"/>
    <mergeCell ref="S44:T44"/>
    <mergeCell ref="S19:T19"/>
    <mergeCell ref="A16:A19"/>
    <mergeCell ref="B16:B19"/>
    <mergeCell ref="C16:C19"/>
    <mergeCell ref="Q16:R16"/>
    <mergeCell ref="S20:T20"/>
    <mergeCell ref="S25:T25"/>
    <mergeCell ref="S30:T30"/>
    <mergeCell ref="S35:T35"/>
    <mergeCell ref="S40:T40"/>
    <mergeCell ref="S21:T21"/>
    <mergeCell ref="S22:T22"/>
    <mergeCell ref="S23:T23"/>
    <mergeCell ref="S24:T24"/>
    <mergeCell ref="S26:T26"/>
    <mergeCell ref="S27:T27"/>
    <mergeCell ref="S28:T28"/>
    <mergeCell ref="S29:T29"/>
    <mergeCell ref="S31:T31"/>
    <mergeCell ref="S32:T32"/>
  </mergeCells>
  <phoneticPr fontId="3"/>
  <conditionalFormatting sqref="U4:U11">
    <cfRule type="cellIs" dxfId="0" priority="1" operator="equal">
      <formula>"課税限度額超過のため、課税限度額が確定税額です。"</formula>
    </cfRule>
  </conditionalFormatting>
  <printOptions horizontalCentered="1" verticalCentered="1"/>
  <pageMargins left="0.51181102362204722" right="0.51181102362204722" top="0.55118110236220474" bottom="0.35433070866141736"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2"/>
  <sheetViews>
    <sheetView workbookViewId="0"/>
  </sheetViews>
  <sheetFormatPr defaultRowHeight="18.75"/>
  <sheetData>
    <row r="1" spans="1:1" ht="28.5">
      <c r="A1" s="158" t="s">
        <v>135</v>
      </c>
    </row>
    <row r="56" spans="1:1" ht="28.5">
      <c r="A56" s="158" t="s">
        <v>136</v>
      </c>
    </row>
    <row r="78" spans="1:1" ht="28.5">
      <c r="A78" s="158" t="s">
        <v>137</v>
      </c>
    </row>
    <row r="104" spans="1:10">
      <c r="A104" s="159"/>
    </row>
    <row r="105" spans="1:10">
      <c r="A105" s="160"/>
    </row>
    <row r="106" spans="1:10">
      <c r="A106" s="160"/>
    </row>
    <row r="112" spans="1:10">
      <c r="J112" s="159"/>
    </row>
  </sheetData>
  <sheetProtection algorithmName="SHA-512" hashValue="AYhkIrVY1B8QI3P841nRIFP21JKKNYhfsUscZW0STUaFPFQvjd+O9iYJn6e5o99BlUxH+QqQdOjCe3ppwO58MQ==" saltValue="0w+HCbzVo/4lMOFzInDMWg==" spinCount="100000" sheet="1" objects="1" scenarios="1"/>
  <phoneticPr fontId="3"/>
  <pageMargins left="0.70866141732283472" right="0.70866141732283472" top="0.74803149606299213" bottom="0.74803149606299213" header="0.31496062992125984" footer="0.31496062992125984"/>
  <pageSetup paperSize="9" scale="70" fitToHeight="2" orientation="portrait" verticalDpi="0" r:id="rId1"/>
  <rowBreaks count="1" manualBreakCount="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workbookViewId="0">
      <selection activeCell="C6" sqref="C6"/>
    </sheetView>
  </sheetViews>
  <sheetFormatPr defaultRowHeight="18.75"/>
  <cols>
    <col min="1" max="1" width="22.5" bestFit="1" customWidth="1"/>
    <col min="3" max="3" width="11" bestFit="1" customWidth="1"/>
    <col min="4" max="4" width="11" customWidth="1"/>
    <col min="6" max="6" width="17.25" bestFit="1" customWidth="1"/>
    <col min="8" max="8" width="64.125" bestFit="1" customWidth="1"/>
  </cols>
  <sheetData>
    <row r="1" spans="1:8" ht="19.5" thickBot="1">
      <c r="A1" t="str">
        <f>"令和"&amp;TEXT(基礎情報入力シート!B1,"#")&amp;"年度の税額計算基礎情報"</f>
        <v>令和8年度の税額計算基礎情報</v>
      </c>
    </row>
    <row r="2" spans="1:8">
      <c r="A2" s="20" t="s">
        <v>64</v>
      </c>
      <c r="B2" s="9" t="s">
        <v>19</v>
      </c>
      <c r="C2" s="9" t="s">
        <v>8</v>
      </c>
      <c r="D2" s="10" t="s">
        <v>63</v>
      </c>
      <c r="F2" s="17" t="s">
        <v>55</v>
      </c>
      <c r="G2" s="410" t="s">
        <v>65</v>
      </c>
      <c r="H2" s="411"/>
    </row>
    <row r="3" spans="1:8">
      <c r="A3" s="21" t="s">
        <v>9</v>
      </c>
      <c r="B3" s="15">
        <f>HLOOKUP(基礎情報入力シート!B1,作業・変換!C55:G74,6,FALSE)</f>
        <v>30800</v>
      </c>
      <c r="C3" s="18">
        <f>HLOOKUP(基礎情報入力シート!B1,作業・変換!C55:G72,2,FALSE)/100</f>
        <v>6.2800000000000009E-2</v>
      </c>
      <c r="D3" s="16">
        <f>HLOOKUP(基礎情報入力シート!B1,作業・変換!C55:G72,14,FALSE)</f>
        <v>670000</v>
      </c>
      <c r="F3" s="11" t="s">
        <v>10</v>
      </c>
      <c r="G3" s="169">
        <f>HLOOKUP(基礎情報入力シート!B1,作業・変換!C55:G72,10,FALSE)</f>
        <v>430000</v>
      </c>
      <c r="H3" s="19" t="str">
        <f>"円＋"&amp;TEXT(HLOOKUP(基礎情報入力シート!B1,作業・変換!C55:G72,11,FALSE),"#,#;;0")&amp;"円×（給与所得者等の数－１）以下"</f>
        <v>円＋100,000円×（給与所得者等の数－１）以下</v>
      </c>
    </row>
    <row r="4" spans="1:8">
      <c r="A4" s="21" t="s">
        <v>187</v>
      </c>
      <c r="B4" s="15">
        <f>HLOOKUP(基礎情報入力シート!B1,作業・変換!C55:G74,7,FALSE)</f>
        <v>12600</v>
      </c>
      <c r="C4" s="18">
        <f>HLOOKUP(基礎情報入力シート!B1,作業・変換!C55:G72,3,FALSE)/100</f>
        <v>2.0400000000000001E-2</v>
      </c>
      <c r="D4" s="16">
        <f>HLOOKUP(基礎情報入力シート!B1,作業・変換!C55:G72,15,FALSE)</f>
        <v>260000</v>
      </c>
      <c r="F4" s="11" t="s">
        <v>11</v>
      </c>
      <c r="G4" s="169">
        <f>HLOOKUP(基礎情報入力シート!B1,作業・変換!C55:G72,12,FALSE)</f>
        <v>310000</v>
      </c>
      <c r="H4" s="19" t="str">
        <f>"円×加入者数＋"&amp;TEXT(G3,"#,#;;0")&amp;"円＋"&amp;TEXT(HLOOKUP(基礎情報入力シート!B1,作業・変換!C55:G72,11,FALSE),"#,#;;0")&amp;"円×（給与所得者等の数－１）以下"</f>
        <v>円×加入者数＋430,000円＋100,000円×（給与所得者等の数－１）以下</v>
      </c>
    </row>
    <row r="5" spans="1:8" ht="19.5" thickBot="1">
      <c r="A5" s="21" t="s">
        <v>12</v>
      </c>
      <c r="B5" s="15">
        <f>HLOOKUP(基礎情報入力シート!B1,作業・変換!C55:G74,8,FALSE)</f>
        <v>12900</v>
      </c>
      <c r="C5" s="18">
        <f>HLOOKUP(基礎情報入力シート!B1,作業・変換!C55:G72,4,FALSE)/100</f>
        <v>1.8200000000000001E-2</v>
      </c>
      <c r="D5" s="16">
        <f>HLOOKUP(基礎情報入力シート!B1,作業・変換!C55:G72,16,FALSE)</f>
        <v>170000</v>
      </c>
      <c r="F5" s="12" t="s">
        <v>13</v>
      </c>
      <c r="G5" s="170">
        <f>HLOOKUP(基礎情報入力シート!B1,作業・変換!C55:G72,13,FALSE)</f>
        <v>570000</v>
      </c>
      <c r="H5" s="168" t="str">
        <f>"円×加入者数＋"&amp;TEXT(G3,"#,#;;0")&amp;"円＋"&amp;TEXT(HLOOKUP(基礎情報入力シート!B1,作業・変換!C55:G72,11,FALSE),"#,#;;0")&amp;"円×（給与所得者等の数－１）以下"</f>
        <v>円×加入者数＋430,000円＋100,000円×（給与所得者等の数－１）以下</v>
      </c>
    </row>
    <row r="6" spans="1:8" ht="19.5" thickBot="1">
      <c r="A6" s="201" t="s">
        <v>188</v>
      </c>
      <c r="B6" s="202">
        <f>HLOOKUP(基礎情報入力シート!B1,作業・変換!C55:G74,9,FALSE)</f>
        <v>1900</v>
      </c>
      <c r="C6" s="226">
        <f>HLOOKUP(基礎情報入力シート!B1,作業・変換!C55:G72,5,FALSE)/100</f>
        <v>3.0000000000000001E-3</v>
      </c>
      <c r="D6" s="203">
        <f>HLOOKUP(基礎情報入力シート!B1,作業・変換!C55:G72,17,FALSE)</f>
        <v>30000</v>
      </c>
    </row>
  </sheetData>
  <sheetProtection algorithmName="SHA-512" hashValue="E2bYzTKUwLxzFxLWkaZflNRsvSHOlLntak39nWhLVk27rshQxJH99SGe+T8oSaCMjPVPqB9ou3fAOlJjDVteJw==" saltValue="mivQB9ATFfYb5tS97UcB+A==" spinCount="100000" sheet="1" objects="1" scenarios="1"/>
  <protectedRanges>
    <protectedRange sqref="B3:C6" name="範囲13"/>
    <protectedRange sqref="G4:G5" name="範囲14"/>
    <protectedRange sqref="D3:D6" name="範囲15"/>
  </protectedRanges>
  <mergeCells count="1">
    <mergeCell ref="G2:H2"/>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12"/>
  <sheetViews>
    <sheetView workbookViewId="0">
      <selection activeCell="J108" sqref="J108"/>
    </sheetView>
  </sheetViews>
  <sheetFormatPr defaultRowHeight="18.75"/>
  <cols>
    <col min="1" max="1" width="9" style="1"/>
    <col min="2" max="2" width="15.25" style="1" customWidth="1"/>
    <col min="3" max="21" width="10.625" style="1" customWidth="1"/>
    <col min="22" max="257" width="9" style="1"/>
    <col min="258" max="258" width="15.25" style="1" customWidth="1"/>
    <col min="259" max="259" width="10.5" style="1" customWidth="1"/>
    <col min="260" max="260" width="12.75" style="1" customWidth="1"/>
    <col min="261" max="261" width="10.375" style="1" customWidth="1"/>
    <col min="262" max="263" width="11" style="1" bestFit="1" customWidth="1"/>
    <col min="264" max="264" width="9.25" style="1" bestFit="1" customWidth="1"/>
    <col min="265" max="266" width="11" style="1" bestFit="1" customWidth="1"/>
    <col min="267" max="267" width="9" style="1"/>
    <col min="268" max="269" width="11" style="1" bestFit="1" customWidth="1"/>
    <col min="270" max="270" width="9" style="1"/>
    <col min="271" max="272" width="11" style="1" bestFit="1" customWidth="1"/>
    <col min="273" max="513" width="9" style="1"/>
    <col min="514" max="514" width="15.25" style="1" customWidth="1"/>
    <col min="515" max="515" width="10.5" style="1" customWidth="1"/>
    <col min="516" max="516" width="12.75" style="1" customWidth="1"/>
    <col min="517" max="517" width="10.375" style="1" customWidth="1"/>
    <col min="518" max="519" width="11" style="1" bestFit="1" customWidth="1"/>
    <col min="520" max="520" width="9.25" style="1" bestFit="1" customWidth="1"/>
    <col min="521" max="522" width="11" style="1" bestFit="1" customWidth="1"/>
    <col min="523" max="523" width="9" style="1"/>
    <col min="524" max="525" width="11" style="1" bestFit="1" customWidth="1"/>
    <col min="526" max="526" width="9" style="1"/>
    <col min="527" max="528" width="11" style="1" bestFit="1" customWidth="1"/>
    <col min="529" max="769" width="9" style="1"/>
    <col min="770" max="770" width="15.25" style="1" customWidth="1"/>
    <col min="771" max="771" width="10.5" style="1" customWidth="1"/>
    <col min="772" max="772" width="12.75" style="1" customWidth="1"/>
    <col min="773" max="773" width="10.375" style="1" customWidth="1"/>
    <col min="774" max="775" width="11" style="1" bestFit="1" customWidth="1"/>
    <col min="776" max="776" width="9.25" style="1" bestFit="1" customWidth="1"/>
    <col min="777" max="778" width="11" style="1" bestFit="1" customWidth="1"/>
    <col min="779" max="779" width="9" style="1"/>
    <col min="780" max="781" width="11" style="1" bestFit="1" customWidth="1"/>
    <col min="782" max="782" width="9" style="1"/>
    <col min="783" max="784" width="11" style="1" bestFit="1" customWidth="1"/>
    <col min="785" max="1025" width="9" style="1"/>
    <col min="1026" max="1026" width="15.25" style="1" customWidth="1"/>
    <col min="1027" max="1027" width="10.5" style="1" customWidth="1"/>
    <col min="1028" max="1028" width="12.75" style="1" customWidth="1"/>
    <col min="1029" max="1029" width="10.375" style="1" customWidth="1"/>
    <col min="1030" max="1031" width="11" style="1" bestFit="1" customWidth="1"/>
    <col min="1032" max="1032" width="9.25" style="1" bestFit="1" customWidth="1"/>
    <col min="1033" max="1034" width="11" style="1" bestFit="1" customWidth="1"/>
    <col min="1035" max="1035" width="9" style="1"/>
    <col min="1036" max="1037" width="11" style="1" bestFit="1" customWidth="1"/>
    <col min="1038" max="1038" width="9" style="1"/>
    <col min="1039" max="1040" width="11" style="1" bestFit="1" customWidth="1"/>
    <col min="1041" max="1281" width="9" style="1"/>
    <col min="1282" max="1282" width="15.25" style="1" customWidth="1"/>
    <col min="1283" max="1283" width="10.5" style="1" customWidth="1"/>
    <col min="1284" max="1284" width="12.75" style="1" customWidth="1"/>
    <col min="1285" max="1285" width="10.375" style="1" customWidth="1"/>
    <col min="1286" max="1287" width="11" style="1" bestFit="1" customWidth="1"/>
    <col min="1288" max="1288" width="9.25" style="1" bestFit="1" customWidth="1"/>
    <col min="1289" max="1290" width="11" style="1" bestFit="1" customWidth="1"/>
    <col min="1291" max="1291" width="9" style="1"/>
    <col min="1292" max="1293" width="11" style="1" bestFit="1" customWidth="1"/>
    <col min="1294" max="1294" width="9" style="1"/>
    <col min="1295" max="1296" width="11" style="1" bestFit="1" customWidth="1"/>
    <col min="1297" max="1537" width="9" style="1"/>
    <col min="1538" max="1538" width="15.25" style="1" customWidth="1"/>
    <col min="1539" max="1539" width="10.5" style="1" customWidth="1"/>
    <col min="1540" max="1540" width="12.75" style="1" customWidth="1"/>
    <col min="1541" max="1541" width="10.375" style="1" customWidth="1"/>
    <col min="1542" max="1543" width="11" style="1" bestFit="1" customWidth="1"/>
    <col min="1544" max="1544" width="9.25" style="1" bestFit="1" customWidth="1"/>
    <col min="1545" max="1546" width="11" style="1" bestFit="1" customWidth="1"/>
    <col min="1547" max="1547" width="9" style="1"/>
    <col min="1548" max="1549" width="11" style="1" bestFit="1" customWidth="1"/>
    <col min="1550" max="1550" width="9" style="1"/>
    <col min="1551" max="1552" width="11" style="1" bestFit="1" customWidth="1"/>
    <col min="1553" max="1793" width="9" style="1"/>
    <col min="1794" max="1794" width="15.25" style="1" customWidth="1"/>
    <col min="1795" max="1795" width="10.5" style="1" customWidth="1"/>
    <col min="1796" max="1796" width="12.75" style="1" customWidth="1"/>
    <col min="1797" max="1797" width="10.375" style="1" customWidth="1"/>
    <col min="1798" max="1799" width="11" style="1" bestFit="1" customWidth="1"/>
    <col min="1800" max="1800" width="9.25" style="1" bestFit="1" customWidth="1"/>
    <col min="1801" max="1802" width="11" style="1" bestFit="1" customWidth="1"/>
    <col min="1803" max="1803" width="9" style="1"/>
    <col min="1804" max="1805" width="11" style="1" bestFit="1" customWidth="1"/>
    <col min="1806" max="1806" width="9" style="1"/>
    <col min="1807" max="1808" width="11" style="1" bestFit="1" customWidth="1"/>
    <col min="1809" max="2049" width="9" style="1"/>
    <col min="2050" max="2050" width="15.25" style="1" customWidth="1"/>
    <col min="2051" max="2051" width="10.5" style="1" customWidth="1"/>
    <col min="2052" max="2052" width="12.75" style="1" customWidth="1"/>
    <col min="2053" max="2053" width="10.375" style="1" customWidth="1"/>
    <col min="2054" max="2055" width="11" style="1" bestFit="1" customWidth="1"/>
    <col min="2056" max="2056" width="9.25" style="1" bestFit="1" customWidth="1"/>
    <col min="2057" max="2058" width="11" style="1" bestFit="1" customWidth="1"/>
    <col min="2059" max="2059" width="9" style="1"/>
    <col min="2060" max="2061" width="11" style="1" bestFit="1" customWidth="1"/>
    <col min="2062" max="2062" width="9" style="1"/>
    <col min="2063" max="2064" width="11" style="1" bestFit="1" customWidth="1"/>
    <col min="2065" max="2305" width="9" style="1"/>
    <col min="2306" max="2306" width="15.25" style="1" customWidth="1"/>
    <col min="2307" max="2307" width="10.5" style="1" customWidth="1"/>
    <col min="2308" max="2308" width="12.75" style="1" customWidth="1"/>
    <col min="2309" max="2309" width="10.375" style="1" customWidth="1"/>
    <col min="2310" max="2311" width="11" style="1" bestFit="1" customWidth="1"/>
    <col min="2312" max="2312" width="9.25" style="1" bestFit="1" customWidth="1"/>
    <col min="2313" max="2314" width="11" style="1" bestFit="1" customWidth="1"/>
    <col min="2315" max="2315" width="9" style="1"/>
    <col min="2316" max="2317" width="11" style="1" bestFit="1" customWidth="1"/>
    <col min="2318" max="2318" width="9" style="1"/>
    <col min="2319" max="2320" width="11" style="1" bestFit="1" customWidth="1"/>
    <col min="2321" max="2561" width="9" style="1"/>
    <col min="2562" max="2562" width="15.25" style="1" customWidth="1"/>
    <col min="2563" max="2563" width="10.5" style="1" customWidth="1"/>
    <col min="2564" max="2564" width="12.75" style="1" customWidth="1"/>
    <col min="2565" max="2565" width="10.375" style="1" customWidth="1"/>
    <col min="2566" max="2567" width="11" style="1" bestFit="1" customWidth="1"/>
    <col min="2568" max="2568" width="9.25" style="1" bestFit="1" customWidth="1"/>
    <col min="2569" max="2570" width="11" style="1" bestFit="1" customWidth="1"/>
    <col min="2571" max="2571" width="9" style="1"/>
    <col min="2572" max="2573" width="11" style="1" bestFit="1" customWidth="1"/>
    <col min="2574" max="2574" width="9" style="1"/>
    <col min="2575" max="2576" width="11" style="1" bestFit="1" customWidth="1"/>
    <col min="2577" max="2817" width="9" style="1"/>
    <col min="2818" max="2818" width="15.25" style="1" customWidth="1"/>
    <col min="2819" max="2819" width="10.5" style="1" customWidth="1"/>
    <col min="2820" max="2820" width="12.75" style="1" customWidth="1"/>
    <col min="2821" max="2821" width="10.375" style="1" customWidth="1"/>
    <col min="2822" max="2823" width="11" style="1" bestFit="1" customWidth="1"/>
    <col min="2824" max="2824" width="9.25" style="1" bestFit="1" customWidth="1"/>
    <col min="2825" max="2826" width="11" style="1" bestFit="1" customWidth="1"/>
    <col min="2827" max="2827" width="9" style="1"/>
    <col min="2828" max="2829" width="11" style="1" bestFit="1" customWidth="1"/>
    <col min="2830" max="2830" width="9" style="1"/>
    <col min="2831" max="2832" width="11" style="1" bestFit="1" customWidth="1"/>
    <col min="2833" max="3073" width="9" style="1"/>
    <col min="3074" max="3074" width="15.25" style="1" customWidth="1"/>
    <col min="3075" max="3075" width="10.5" style="1" customWidth="1"/>
    <col min="3076" max="3076" width="12.75" style="1" customWidth="1"/>
    <col min="3077" max="3077" width="10.375" style="1" customWidth="1"/>
    <col min="3078" max="3079" width="11" style="1" bestFit="1" customWidth="1"/>
    <col min="3080" max="3080" width="9.25" style="1" bestFit="1" customWidth="1"/>
    <col min="3081" max="3082" width="11" style="1" bestFit="1" customWidth="1"/>
    <col min="3083" max="3083" width="9" style="1"/>
    <col min="3084" max="3085" width="11" style="1" bestFit="1" customWidth="1"/>
    <col min="3086" max="3086" width="9" style="1"/>
    <col min="3087" max="3088" width="11" style="1" bestFit="1" customWidth="1"/>
    <col min="3089" max="3329" width="9" style="1"/>
    <col min="3330" max="3330" width="15.25" style="1" customWidth="1"/>
    <col min="3331" max="3331" width="10.5" style="1" customWidth="1"/>
    <col min="3332" max="3332" width="12.75" style="1" customWidth="1"/>
    <col min="3333" max="3333" width="10.375" style="1" customWidth="1"/>
    <col min="3334" max="3335" width="11" style="1" bestFit="1" customWidth="1"/>
    <col min="3336" max="3336" width="9.25" style="1" bestFit="1" customWidth="1"/>
    <col min="3337" max="3338" width="11" style="1" bestFit="1" customWidth="1"/>
    <col min="3339" max="3339" width="9" style="1"/>
    <col min="3340" max="3341" width="11" style="1" bestFit="1" customWidth="1"/>
    <col min="3342" max="3342" width="9" style="1"/>
    <col min="3343" max="3344" width="11" style="1" bestFit="1" customWidth="1"/>
    <col min="3345" max="3585" width="9" style="1"/>
    <col min="3586" max="3586" width="15.25" style="1" customWidth="1"/>
    <col min="3587" max="3587" width="10.5" style="1" customWidth="1"/>
    <col min="3588" max="3588" width="12.75" style="1" customWidth="1"/>
    <col min="3589" max="3589" width="10.375" style="1" customWidth="1"/>
    <col min="3590" max="3591" width="11" style="1" bestFit="1" customWidth="1"/>
    <col min="3592" max="3592" width="9.25" style="1" bestFit="1" customWidth="1"/>
    <col min="3593" max="3594" width="11" style="1" bestFit="1" customWidth="1"/>
    <col min="3595" max="3595" width="9" style="1"/>
    <col min="3596" max="3597" width="11" style="1" bestFit="1" customWidth="1"/>
    <col min="3598" max="3598" width="9" style="1"/>
    <col min="3599" max="3600" width="11" style="1" bestFit="1" customWidth="1"/>
    <col min="3601" max="3841" width="9" style="1"/>
    <col min="3842" max="3842" width="15.25" style="1" customWidth="1"/>
    <col min="3843" max="3843" width="10.5" style="1" customWidth="1"/>
    <col min="3844" max="3844" width="12.75" style="1" customWidth="1"/>
    <col min="3845" max="3845" width="10.375" style="1" customWidth="1"/>
    <col min="3846" max="3847" width="11" style="1" bestFit="1" customWidth="1"/>
    <col min="3848" max="3848" width="9.25" style="1" bestFit="1" customWidth="1"/>
    <col min="3849" max="3850" width="11" style="1" bestFit="1" customWidth="1"/>
    <col min="3851" max="3851" width="9" style="1"/>
    <col min="3852" max="3853" width="11" style="1" bestFit="1" customWidth="1"/>
    <col min="3854" max="3854" width="9" style="1"/>
    <col min="3855" max="3856" width="11" style="1" bestFit="1" customWidth="1"/>
    <col min="3857" max="4097" width="9" style="1"/>
    <col min="4098" max="4098" width="15.25" style="1" customWidth="1"/>
    <col min="4099" max="4099" width="10.5" style="1" customWidth="1"/>
    <col min="4100" max="4100" width="12.75" style="1" customWidth="1"/>
    <col min="4101" max="4101" width="10.375" style="1" customWidth="1"/>
    <col min="4102" max="4103" width="11" style="1" bestFit="1" customWidth="1"/>
    <col min="4104" max="4104" width="9.25" style="1" bestFit="1" customWidth="1"/>
    <col min="4105" max="4106" width="11" style="1" bestFit="1" customWidth="1"/>
    <col min="4107" max="4107" width="9" style="1"/>
    <col min="4108" max="4109" width="11" style="1" bestFit="1" customWidth="1"/>
    <col min="4110" max="4110" width="9" style="1"/>
    <col min="4111" max="4112" width="11" style="1" bestFit="1" customWidth="1"/>
    <col min="4113" max="4353" width="9" style="1"/>
    <col min="4354" max="4354" width="15.25" style="1" customWidth="1"/>
    <col min="4355" max="4355" width="10.5" style="1" customWidth="1"/>
    <col min="4356" max="4356" width="12.75" style="1" customWidth="1"/>
    <col min="4357" max="4357" width="10.375" style="1" customWidth="1"/>
    <col min="4358" max="4359" width="11" style="1" bestFit="1" customWidth="1"/>
    <col min="4360" max="4360" width="9.25" style="1" bestFit="1" customWidth="1"/>
    <col min="4361" max="4362" width="11" style="1" bestFit="1" customWidth="1"/>
    <col min="4363" max="4363" width="9" style="1"/>
    <col min="4364" max="4365" width="11" style="1" bestFit="1" customWidth="1"/>
    <col min="4366" max="4366" width="9" style="1"/>
    <col min="4367" max="4368" width="11" style="1" bestFit="1" customWidth="1"/>
    <col min="4369" max="4609" width="9" style="1"/>
    <col min="4610" max="4610" width="15.25" style="1" customWidth="1"/>
    <col min="4611" max="4611" width="10.5" style="1" customWidth="1"/>
    <col min="4612" max="4612" width="12.75" style="1" customWidth="1"/>
    <col min="4613" max="4613" width="10.375" style="1" customWidth="1"/>
    <col min="4614" max="4615" width="11" style="1" bestFit="1" customWidth="1"/>
    <col min="4616" max="4616" width="9.25" style="1" bestFit="1" customWidth="1"/>
    <col min="4617" max="4618" width="11" style="1" bestFit="1" customWidth="1"/>
    <col min="4619" max="4619" width="9" style="1"/>
    <col min="4620" max="4621" width="11" style="1" bestFit="1" customWidth="1"/>
    <col min="4622" max="4622" width="9" style="1"/>
    <col min="4623" max="4624" width="11" style="1" bestFit="1" customWidth="1"/>
    <col min="4625" max="4865" width="9" style="1"/>
    <col min="4866" max="4866" width="15.25" style="1" customWidth="1"/>
    <col min="4867" max="4867" width="10.5" style="1" customWidth="1"/>
    <col min="4868" max="4868" width="12.75" style="1" customWidth="1"/>
    <col min="4869" max="4869" width="10.375" style="1" customWidth="1"/>
    <col min="4870" max="4871" width="11" style="1" bestFit="1" customWidth="1"/>
    <col min="4872" max="4872" width="9.25" style="1" bestFit="1" customWidth="1"/>
    <col min="4873" max="4874" width="11" style="1" bestFit="1" customWidth="1"/>
    <col min="4875" max="4875" width="9" style="1"/>
    <col min="4876" max="4877" width="11" style="1" bestFit="1" customWidth="1"/>
    <col min="4878" max="4878" width="9" style="1"/>
    <col min="4879" max="4880" width="11" style="1" bestFit="1" customWidth="1"/>
    <col min="4881" max="5121" width="9" style="1"/>
    <col min="5122" max="5122" width="15.25" style="1" customWidth="1"/>
    <col min="5123" max="5123" width="10.5" style="1" customWidth="1"/>
    <col min="5124" max="5124" width="12.75" style="1" customWidth="1"/>
    <col min="5125" max="5125" width="10.375" style="1" customWidth="1"/>
    <col min="5126" max="5127" width="11" style="1" bestFit="1" customWidth="1"/>
    <col min="5128" max="5128" width="9.25" style="1" bestFit="1" customWidth="1"/>
    <col min="5129" max="5130" width="11" style="1" bestFit="1" customWidth="1"/>
    <col min="5131" max="5131" width="9" style="1"/>
    <col min="5132" max="5133" width="11" style="1" bestFit="1" customWidth="1"/>
    <col min="5134" max="5134" width="9" style="1"/>
    <col min="5135" max="5136" width="11" style="1" bestFit="1" customWidth="1"/>
    <col min="5137" max="5377" width="9" style="1"/>
    <col min="5378" max="5378" width="15.25" style="1" customWidth="1"/>
    <col min="5379" max="5379" width="10.5" style="1" customWidth="1"/>
    <col min="5380" max="5380" width="12.75" style="1" customWidth="1"/>
    <col min="5381" max="5381" width="10.375" style="1" customWidth="1"/>
    <col min="5382" max="5383" width="11" style="1" bestFit="1" customWidth="1"/>
    <col min="5384" max="5384" width="9.25" style="1" bestFit="1" customWidth="1"/>
    <col min="5385" max="5386" width="11" style="1" bestFit="1" customWidth="1"/>
    <col min="5387" max="5387" width="9" style="1"/>
    <col min="5388" max="5389" width="11" style="1" bestFit="1" customWidth="1"/>
    <col min="5390" max="5390" width="9" style="1"/>
    <col min="5391" max="5392" width="11" style="1" bestFit="1" customWidth="1"/>
    <col min="5393" max="5633" width="9" style="1"/>
    <col min="5634" max="5634" width="15.25" style="1" customWidth="1"/>
    <col min="5635" max="5635" width="10.5" style="1" customWidth="1"/>
    <col min="5636" max="5636" width="12.75" style="1" customWidth="1"/>
    <col min="5637" max="5637" width="10.375" style="1" customWidth="1"/>
    <col min="5638" max="5639" width="11" style="1" bestFit="1" customWidth="1"/>
    <col min="5640" max="5640" width="9.25" style="1" bestFit="1" customWidth="1"/>
    <col min="5641" max="5642" width="11" style="1" bestFit="1" customWidth="1"/>
    <col min="5643" max="5643" width="9" style="1"/>
    <col min="5644" max="5645" width="11" style="1" bestFit="1" customWidth="1"/>
    <col min="5646" max="5646" width="9" style="1"/>
    <col min="5647" max="5648" width="11" style="1" bestFit="1" customWidth="1"/>
    <col min="5649" max="5889" width="9" style="1"/>
    <col min="5890" max="5890" width="15.25" style="1" customWidth="1"/>
    <col min="5891" max="5891" width="10.5" style="1" customWidth="1"/>
    <col min="5892" max="5892" width="12.75" style="1" customWidth="1"/>
    <col min="5893" max="5893" width="10.375" style="1" customWidth="1"/>
    <col min="5894" max="5895" width="11" style="1" bestFit="1" customWidth="1"/>
    <col min="5896" max="5896" width="9.25" style="1" bestFit="1" customWidth="1"/>
    <col min="5897" max="5898" width="11" style="1" bestFit="1" customWidth="1"/>
    <col min="5899" max="5899" width="9" style="1"/>
    <col min="5900" max="5901" width="11" style="1" bestFit="1" customWidth="1"/>
    <col min="5902" max="5902" width="9" style="1"/>
    <col min="5903" max="5904" width="11" style="1" bestFit="1" customWidth="1"/>
    <col min="5905" max="6145" width="9" style="1"/>
    <col min="6146" max="6146" width="15.25" style="1" customWidth="1"/>
    <col min="6147" max="6147" width="10.5" style="1" customWidth="1"/>
    <col min="6148" max="6148" width="12.75" style="1" customWidth="1"/>
    <col min="6149" max="6149" width="10.375" style="1" customWidth="1"/>
    <col min="6150" max="6151" width="11" style="1" bestFit="1" customWidth="1"/>
    <col min="6152" max="6152" width="9.25" style="1" bestFit="1" customWidth="1"/>
    <col min="6153" max="6154" width="11" style="1" bestFit="1" customWidth="1"/>
    <col min="6155" max="6155" width="9" style="1"/>
    <col min="6156" max="6157" width="11" style="1" bestFit="1" customWidth="1"/>
    <col min="6158" max="6158" width="9" style="1"/>
    <col min="6159" max="6160" width="11" style="1" bestFit="1" customWidth="1"/>
    <col min="6161" max="6401" width="9" style="1"/>
    <col min="6402" max="6402" width="15.25" style="1" customWidth="1"/>
    <col min="6403" max="6403" width="10.5" style="1" customWidth="1"/>
    <col min="6404" max="6404" width="12.75" style="1" customWidth="1"/>
    <col min="6405" max="6405" width="10.375" style="1" customWidth="1"/>
    <col min="6406" max="6407" width="11" style="1" bestFit="1" customWidth="1"/>
    <col min="6408" max="6408" width="9.25" style="1" bestFit="1" customWidth="1"/>
    <col min="6409" max="6410" width="11" style="1" bestFit="1" customWidth="1"/>
    <col min="6411" max="6411" width="9" style="1"/>
    <col min="6412" max="6413" width="11" style="1" bestFit="1" customWidth="1"/>
    <col min="6414" max="6414" width="9" style="1"/>
    <col min="6415" max="6416" width="11" style="1" bestFit="1" customWidth="1"/>
    <col min="6417" max="6657" width="9" style="1"/>
    <col min="6658" max="6658" width="15.25" style="1" customWidth="1"/>
    <col min="6659" max="6659" width="10.5" style="1" customWidth="1"/>
    <col min="6660" max="6660" width="12.75" style="1" customWidth="1"/>
    <col min="6661" max="6661" width="10.375" style="1" customWidth="1"/>
    <col min="6662" max="6663" width="11" style="1" bestFit="1" customWidth="1"/>
    <col min="6664" max="6664" width="9.25" style="1" bestFit="1" customWidth="1"/>
    <col min="6665" max="6666" width="11" style="1" bestFit="1" customWidth="1"/>
    <col min="6667" max="6667" width="9" style="1"/>
    <col min="6668" max="6669" width="11" style="1" bestFit="1" customWidth="1"/>
    <col min="6670" max="6670" width="9" style="1"/>
    <col min="6671" max="6672" width="11" style="1" bestFit="1" customWidth="1"/>
    <col min="6673" max="6913" width="9" style="1"/>
    <col min="6914" max="6914" width="15.25" style="1" customWidth="1"/>
    <col min="6915" max="6915" width="10.5" style="1" customWidth="1"/>
    <col min="6916" max="6916" width="12.75" style="1" customWidth="1"/>
    <col min="6917" max="6917" width="10.375" style="1" customWidth="1"/>
    <col min="6918" max="6919" width="11" style="1" bestFit="1" customWidth="1"/>
    <col min="6920" max="6920" width="9.25" style="1" bestFit="1" customWidth="1"/>
    <col min="6921" max="6922" width="11" style="1" bestFit="1" customWidth="1"/>
    <col min="6923" max="6923" width="9" style="1"/>
    <col min="6924" max="6925" width="11" style="1" bestFit="1" customWidth="1"/>
    <col min="6926" max="6926" width="9" style="1"/>
    <col min="6927" max="6928" width="11" style="1" bestFit="1" customWidth="1"/>
    <col min="6929" max="7169" width="9" style="1"/>
    <col min="7170" max="7170" width="15.25" style="1" customWidth="1"/>
    <col min="7171" max="7171" width="10.5" style="1" customWidth="1"/>
    <col min="7172" max="7172" width="12.75" style="1" customWidth="1"/>
    <col min="7173" max="7173" width="10.375" style="1" customWidth="1"/>
    <col min="7174" max="7175" width="11" style="1" bestFit="1" customWidth="1"/>
    <col min="7176" max="7176" width="9.25" style="1" bestFit="1" customWidth="1"/>
    <col min="7177" max="7178" width="11" style="1" bestFit="1" customWidth="1"/>
    <col min="7179" max="7179" width="9" style="1"/>
    <col min="7180" max="7181" width="11" style="1" bestFit="1" customWidth="1"/>
    <col min="7182" max="7182" width="9" style="1"/>
    <col min="7183" max="7184" width="11" style="1" bestFit="1" customWidth="1"/>
    <col min="7185" max="7425" width="9" style="1"/>
    <col min="7426" max="7426" width="15.25" style="1" customWidth="1"/>
    <col min="7427" max="7427" width="10.5" style="1" customWidth="1"/>
    <col min="7428" max="7428" width="12.75" style="1" customWidth="1"/>
    <col min="7429" max="7429" width="10.375" style="1" customWidth="1"/>
    <col min="7430" max="7431" width="11" style="1" bestFit="1" customWidth="1"/>
    <col min="7432" max="7432" width="9.25" style="1" bestFit="1" customWidth="1"/>
    <col min="7433" max="7434" width="11" style="1" bestFit="1" customWidth="1"/>
    <col min="7435" max="7435" width="9" style="1"/>
    <col min="7436" max="7437" width="11" style="1" bestFit="1" customWidth="1"/>
    <col min="7438" max="7438" width="9" style="1"/>
    <col min="7439" max="7440" width="11" style="1" bestFit="1" customWidth="1"/>
    <col min="7441" max="7681" width="9" style="1"/>
    <col min="7682" max="7682" width="15.25" style="1" customWidth="1"/>
    <col min="7683" max="7683" width="10.5" style="1" customWidth="1"/>
    <col min="7684" max="7684" width="12.75" style="1" customWidth="1"/>
    <col min="7685" max="7685" width="10.375" style="1" customWidth="1"/>
    <col min="7686" max="7687" width="11" style="1" bestFit="1" customWidth="1"/>
    <col min="7688" max="7688" width="9.25" style="1" bestFit="1" customWidth="1"/>
    <col min="7689" max="7690" width="11" style="1" bestFit="1" customWidth="1"/>
    <col min="7691" max="7691" width="9" style="1"/>
    <col min="7692" max="7693" width="11" style="1" bestFit="1" customWidth="1"/>
    <col min="7694" max="7694" width="9" style="1"/>
    <col min="7695" max="7696" width="11" style="1" bestFit="1" customWidth="1"/>
    <col min="7697" max="7937" width="9" style="1"/>
    <col min="7938" max="7938" width="15.25" style="1" customWidth="1"/>
    <col min="7939" max="7939" width="10.5" style="1" customWidth="1"/>
    <col min="7940" max="7940" width="12.75" style="1" customWidth="1"/>
    <col min="7941" max="7941" width="10.375" style="1" customWidth="1"/>
    <col min="7942" max="7943" width="11" style="1" bestFit="1" customWidth="1"/>
    <col min="7944" max="7944" width="9.25" style="1" bestFit="1" customWidth="1"/>
    <col min="7945" max="7946" width="11" style="1" bestFit="1" customWidth="1"/>
    <col min="7947" max="7947" width="9" style="1"/>
    <col min="7948" max="7949" width="11" style="1" bestFit="1" customWidth="1"/>
    <col min="7950" max="7950" width="9" style="1"/>
    <col min="7951" max="7952" width="11" style="1" bestFit="1" customWidth="1"/>
    <col min="7953" max="8193" width="9" style="1"/>
    <col min="8194" max="8194" width="15.25" style="1" customWidth="1"/>
    <col min="8195" max="8195" width="10.5" style="1" customWidth="1"/>
    <col min="8196" max="8196" width="12.75" style="1" customWidth="1"/>
    <col min="8197" max="8197" width="10.375" style="1" customWidth="1"/>
    <col min="8198" max="8199" width="11" style="1" bestFit="1" customWidth="1"/>
    <col min="8200" max="8200" width="9.25" style="1" bestFit="1" customWidth="1"/>
    <col min="8201" max="8202" width="11" style="1" bestFit="1" customWidth="1"/>
    <col min="8203" max="8203" width="9" style="1"/>
    <col min="8204" max="8205" width="11" style="1" bestFit="1" customWidth="1"/>
    <col min="8206" max="8206" width="9" style="1"/>
    <col min="8207" max="8208" width="11" style="1" bestFit="1" customWidth="1"/>
    <col min="8209" max="8449" width="9" style="1"/>
    <col min="8450" max="8450" width="15.25" style="1" customWidth="1"/>
    <col min="8451" max="8451" width="10.5" style="1" customWidth="1"/>
    <col min="8452" max="8452" width="12.75" style="1" customWidth="1"/>
    <col min="8453" max="8453" width="10.375" style="1" customWidth="1"/>
    <col min="8454" max="8455" width="11" style="1" bestFit="1" customWidth="1"/>
    <col min="8456" max="8456" width="9.25" style="1" bestFit="1" customWidth="1"/>
    <col min="8457" max="8458" width="11" style="1" bestFit="1" customWidth="1"/>
    <col min="8459" max="8459" width="9" style="1"/>
    <col min="8460" max="8461" width="11" style="1" bestFit="1" customWidth="1"/>
    <col min="8462" max="8462" width="9" style="1"/>
    <col min="8463" max="8464" width="11" style="1" bestFit="1" customWidth="1"/>
    <col min="8465" max="8705" width="9" style="1"/>
    <col min="8706" max="8706" width="15.25" style="1" customWidth="1"/>
    <col min="8707" max="8707" width="10.5" style="1" customWidth="1"/>
    <col min="8708" max="8708" width="12.75" style="1" customWidth="1"/>
    <col min="8709" max="8709" width="10.375" style="1" customWidth="1"/>
    <col min="8710" max="8711" width="11" style="1" bestFit="1" customWidth="1"/>
    <col min="8712" max="8712" width="9.25" style="1" bestFit="1" customWidth="1"/>
    <col min="8713" max="8714" width="11" style="1" bestFit="1" customWidth="1"/>
    <col min="8715" max="8715" width="9" style="1"/>
    <col min="8716" max="8717" width="11" style="1" bestFit="1" customWidth="1"/>
    <col min="8718" max="8718" width="9" style="1"/>
    <col min="8719" max="8720" width="11" style="1" bestFit="1" customWidth="1"/>
    <col min="8721" max="8961" width="9" style="1"/>
    <col min="8962" max="8962" width="15.25" style="1" customWidth="1"/>
    <col min="8963" max="8963" width="10.5" style="1" customWidth="1"/>
    <col min="8964" max="8964" width="12.75" style="1" customWidth="1"/>
    <col min="8965" max="8965" width="10.375" style="1" customWidth="1"/>
    <col min="8966" max="8967" width="11" style="1" bestFit="1" customWidth="1"/>
    <col min="8968" max="8968" width="9.25" style="1" bestFit="1" customWidth="1"/>
    <col min="8969" max="8970" width="11" style="1" bestFit="1" customWidth="1"/>
    <col min="8971" max="8971" width="9" style="1"/>
    <col min="8972" max="8973" width="11" style="1" bestFit="1" customWidth="1"/>
    <col min="8974" max="8974" width="9" style="1"/>
    <col min="8975" max="8976" width="11" style="1" bestFit="1" customWidth="1"/>
    <col min="8977" max="9217" width="9" style="1"/>
    <col min="9218" max="9218" width="15.25" style="1" customWidth="1"/>
    <col min="9219" max="9219" width="10.5" style="1" customWidth="1"/>
    <col min="9220" max="9220" width="12.75" style="1" customWidth="1"/>
    <col min="9221" max="9221" width="10.375" style="1" customWidth="1"/>
    <col min="9222" max="9223" width="11" style="1" bestFit="1" customWidth="1"/>
    <col min="9224" max="9224" width="9.25" style="1" bestFit="1" customWidth="1"/>
    <col min="9225" max="9226" width="11" style="1" bestFit="1" customWidth="1"/>
    <col min="9227" max="9227" width="9" style="1"/>
    <col min="9228" max="9229" width="11" style="1" bestFit="1" customWidth="1"/>
    <col min="9230" max="9230" width="9" style="1"/>
    <col min="9231" max="9232" width="11" style="1" bestFit="1" customWidth="1"/>
    <col min="9233" max="9473" width="9" style="1"/>
    <col min="9474" max="9474" width="15.25" style="1" customWidth="1"/>
    <col min="9475" max="9475" width="10.5" style="1" customWidth="1"/>
    <col min="9476" max="9476" width="12.75" style="1" customWidth="1"/>
    <col min="9477" max="9477" width="10.375" style="1" customWidth="1"/>
    <col min="9478" max="9479" width="11" style="1" bestFit="1" customWidth="1"/>
    <col min="9480" max="9480" width="9.25" style="1" bestFit="1" customWidth="1"/>
    <col min="9481" max="9482" width="11" style="1" bestFit="1" customWidth="1"/>
    <col min="9483" max="9483" width="9" style="1"/>
    <col min="9484" max="9485" width="11" style="1" bestFit="1" customWidth="1"/>
    <col min="9486" max="9486" width="9" style="1"/>
    <col min="9487" max="9488" width="11" style="1" bestFit="1" customWidth="1"/>
    <col min="9489" max="9729" width="9" style="1"/>
    <col min="9730" max="9730" width="15.25" style="1" customWidth="1"/>
    <col min="9731" max="9731" width="10.5" style="1" customWidth="1"/>
    <col min="9732" max="9732" width="12.75" style="1" customWidth="1"/>
    <col min="9733" max="9733" width="10.375" style="1" customWidth="1"/>
    <col min="9734" max="9735" width="11" style="1" bestFit="1" customWidth="1"/>
    <col min="9736" max="9736" width="9.25" style="1" bestFit="1" customWidth="1"/>
    <col min="9737" max="9738" width="11" style="1" bestFit="1" customWidth="1"/>
    <col min="9739" max="9739" width="9" style="1"/>
    <col min="9740" max="9741" width="11" style="1" bestFit="1" customWidth="1"/>
    <col min="9742" max="9742" width="9" style="1"/>
    <col min="9743" max="9744" width="11" style="1" bestFit="1" customWidth="1"/>
    <col min="9745" max="9985" width="9" style="1"/>
    <col min="9986" max="9986" width="15.25" style="1" customWidth="1"/>
    <col min="9987" max="9987" width="10.5" style="1" customWidth="1"/>
    <col min="9988" max="9988" width="12.75" style="1" customWidth="1"/>
    <col min="9989" max="9989" width="10.375" style="1" customWidth="1"/>
    <col min="9990" max="9991" width="11" style="1" bestFit="1" customWidth="1"/>
    <col min="9992" max="9992" width="9.25" style="1" bestFit="1" customWidth="1"/>
    <col min="9993" max="9994" width="11" style="1" bestFit="1" customWidth="1"/>
    <col min="9995" max="9995" width="9" style="1"/>
    <col min="9996" max="9997" width="11" style="1" bestFit="1" customWidth="1"/>
    <col min="9998" max="9998" width="9" style="1"/>
    <col min="9999" max="10000" width="11" style="1" bestFit="1" customWidth="1"/>
    <col min="10001" max="10241" width="9" style="1"/>
    <col min="10242" max="10242" width="15.25" style="1" customWidth="1"/>
    <col min="10243" max="10243" width="10.5" style="1" customWidth="1"/>
    <col min="10244" max="10244" width="12.75" style="1" customWidth="1"/>
    <col min="10245" max="10245" width="10.375" style="1" customWidth="1"/>
    <col min="10246" max="10247" width="11" style="1" bestFit="1" customWidth="1"/>
    <col min="10248" max="10248" width="9.25" style="1" bestFit="1" customWidth="1"/>
    <col min="10249" max="10250" width="11" style="1" bestFit="1" customWidth="1"/>
    <col min="10251" max="10251" width="9" style="1"/>
    <col min="10252" max="10253" width="11" style="1" bestFit="1" customWidth="1"/>
    <col min="10254" max="10254" width="9" style="1"/>
    <col min="10255" max="10256" width="11" style="1" bestFit="1" customWidth="1"/>
    <col min="10257" max="10497" width="9" style="1"/>
    <col min="10498" max="10498" width="15.25" style="1" customWidth="1"/>
    <col min="10499" max="10499" width="10.5" style="1" customWidth="1"/>
    <col min="10500" max="10500" width="12.75" style="1" customWidth="1"/>
    <col min="10501" max="10501" width="10.375" style="1" customWidth="1"/>
    <col min="10502" max="10503" width="11" style="1" bestFit="1" customWidth="1"/>
    <col min="10504" max="10504" width="9.25" style="1" bestFit="1" customWidth="1"/>
    <col min="10505" max="10506" width="11" style="1" bestFit="1" customWidth="1"/>
    <col min="10507" max="10507" width="9" style="1"/>
    <col min="10508" max="10509" width="11" style="1" bestFit="1" customWidth="1"/>
    <col min="10510" max="10510" width="9" style="1"/>
    <col min="10511" max="10512" width="11" style="1" bestFit="1" customWidth="1"/>
    <col min="10513" max="10753" width="9" style="1"/>
    <col min="10754" max="10754" width="15.25" style="1" customWidth="1"/>
    <col min="10755" max="10755" width="10.5" style="1" customWidth="1"/>
    <col min="10756" max="10756" width="12.75" style="1" customWidth="1"/>
    <col min="10757" max="10757" width="10.375" style="1" customWidth="1"/>
    <col min="10758" max="10759" width="11" style="1" bestFit="1" customWidth="1"/>
    <col min="10760" max="10760" width="9.25" style="1" bestFit="1" customWidth="1"/>
    <col min="10761" max="10762" width="11" style="1" bestFit="1" customWidth="1"/>
    <col min="10763" max="10763" width="9" style="1"/>
    <col min="10764" max="10765" width="11" style="1" bestFit="1" customWidth="1"/>
    <col min="10766" max="10766" width="9" style="1"/>
    <col min="10767" max="10768" width="11" style="1" bestFit="1" customWidth="1"/>
    <col min="10769" max="11009" width="9" style="1"/>
    <col min="11010" max="11010" width="15.25" style="1" customWidth="1"/>
    <col min="11011" max="11011" width="10.5" style="1" customWidth="1"/>
    <col min="11012" max="11012" width="12.75" style="1" customWidth="1"/>
    <col min="11013" max="11013" width="10.375" style="1" customWidth="1"/>
    <col min="11014" max="11015" width="11" style="1" bestFit="1" customWidth="1"/>
    <col min="11016" max="11016" width="9.25" style="1" bestFit="1" customWidth="1"/>
    <col min="11017" max="11018" width="11" style="1" bestFit="1" customWidth="1"/>
    <col min="11019" max="11019" width="9" style="1"/>
    <col min="11020" max="11021" width="11" style="1" bestFit="1" customWidth="1"/>
    <col min="11022" max="11022" width="9" style="1"/>
    <col min="11023" max="11024" width="11" style="1" bestFit="1" customWidth="1"/>
    <col min="11025" max="11265" width="9" style="1"/>
    <col min="11266" max="11266" width="15.25" style="1" customWidth="1"/>
    <col min="11267" max="11267" width="10.5" style="1" customWidth="1"/>
    <col min="11268" max="11268" width="12.75" style="1" customWidth="1"/>
    <col min="11269" max="11269" width="10.375" style="1" customWidth="1"/>
    <col min="11270" max="11271" width="11" style="1" bestFit="1" customWidth="1"/>
    <col min="11272" max="11272" width="9.25" style="1" bestFit="1" customWidth="1"/>
    <col min="11273" max="11274" width="11" style="1" bestFit="1" customWidth="1"/>
    <col min="11275" max="11275" width="9" style="1"/>
    <col min="11276" max="11277" width="11" style="1" bestFit="1" customWidth="1"/>
    <col min="11278" max="11278" width="9" style="1"/>
    <col min="11279" max="11280" width="11" style="1" bestFit="1" customWidth="1"/>
    <col min="11281" max="11521" width="9" style="1"/>
    <col min="11522" max="11522" width="15.25" style="1" customWidth="1"/>
    <col min="11523" max="11523" width="10.5" style="1" customWidth="1"/>
    <col min="11524" max="11524" width="12.75" style="1" customWidth="1"/>
    <col min="11525" max="11525" width="10.375" style="1" customWidth="1"/>
    <col min="11526" max="11527" width="11" style="1" bestFit="1" customWidth="1"/>
    <col min="11528" max="11528" width="9.25" style="1" bestFit="1" customWidth="1"/>
    <col min="11529" max="11530" width="11" style="1" bestFit="1" customWidth="1"/>
    <col min="11531" max="11531" width="9" style="1"/>
    <col min="11532" max="11533" width="11" style="1" bestFit="1" customWidth="1"/>
    <col min="11534" max="11534" width="9" style="1"/>
    <col min="11535" max="11536" width="11" style="1" bestFit="1" customWidth="1"/>
    <col min="11537" max="11777" width="9" style="1"/>
    <col min="11778" max="11778" width="15.25" style="1" customWidth="1"/>
    <col min="11779" max="11779" width="10.5" style="1" customWidth="1"/>
    <col min="11780" max="11780" width="12.75" style="1" customWidth="1"/>
    <col min="11781" max="11781" width="10.375" style="1" customWidth="1"/>
    <col min="11782" max="11783" width="11" style="1" bestFit="1" customWidth="1"/>
    <col min="11784" max="11784" width="9.25" style="1" bestFit="1" customWidth="1"/>
    <col min="11785" max="11786" width="11" style="1" bestFit="1" customWidth="1"/>
    <col min="11787" max="11787" width="9" style="1"/>
    <col min="11788" max="11789" width="11" style="1" bestFit="1" customWidth="1"/>
    <col min="11790" max="11790" width="9" style="1"/>
    <col min="11791" max="11792" width="11" style="1" bestFit="1" customWidth="1"/>
    <col min="11793" max="12033" width="9" style="1"/>
    <col min="12034" max="12034" width="15.25" style="1" customWidth="1"/>
    <col min="12035" max="12035" width="10.5" style="1" customWidth="1"/>
    <col min="12036" max="12036" width="12.75" style="1" customWidth="1"/>
    <col min="12037" max="12037" width="10.375" style="1" customWidth="1"/>
    <col min="12038" max="12039" width="11" style="1" bestFit="1" customWidth="1"/>
    <col min="12040" max="12040" width="9.25" style="1" bestFit="1" customWidth="1"/>
    <col min="12041" max="12042" width="11" style="1" bestFit="1" customWidth="1"/>
    <col min="12043" max="12043" width="9" style="1"/>
    <col min="12044" max="12045" width="11" style="1" bestFit="1" customWidth="1"/>
    <col min="12046" max="12046" width="9" style="1"/>
    <col min="12047" max="12048" width="11" style="1" bestFit="1" customWidth="1"/>
    <col min="12049" max="12289" width="9" style="1"/>
    <col min="12290" max="12290" width="15.25" style="1" customWidth="1"/>
    <col min="12291" max="12291" width="10.5" style="1" customWidth="1"/>
    <col min="12292" max="12292" width="12.75" style="1" customWidth="1"/>
    <col min="12293" max="12293" width="10.375" style="1" customWidth="1"/>
    <col min="12294" max="12295" width="11" style="1" bestFit="1" customWidth="1"/>
    <col min="12296" max="12296" width="9.25" style="1" bestFit="1" customWidth="1"/>
    <col min="12297" max="12298" width="11" style="1" bestFit="1" customWidth="1"/>
    <col min="12299" max="12299" width="9" style="1"/>
    <col min="12300" max="12301" width="11" style="1" bestFit="1" customWidth="1"/>
    <col min="12302" max="12302" width="9" style="1"/>
    <col min="12303" max="12304" width="11" style="1" bestFit="1" customWidth="1"/>
    <col min="12305" max="12545" width="9" style="1"/>
    <col min="12546" max="12546" width="15.25" style="1" customWidth="1"/>
    <col min="12547" max="12547" width="10.5" style="1" customWidth="1"/>
    <col min="12548" max="12548" width="12.75" style="1" customWidth="1"/>
    <col min="12549" max="12549" width="10.375" style="1" customWidth="1"/>
    <col min="12550" max="12551" width="11" style="1" bestFit="1" customWidth="1"/>
    <col min="12552" max="12552" width="9.25" style="1" bestFit="1" customWidth="1"/>
    <col min="12553" max="12554" width="11" style="1" bestFit="1" customWidth="1"/>
    <col min="12555" max="12555" width="9" style="1"/>
    <col min="12556" max="12557" width="11" style="1" bestFit="1" customWidth="1"/>
    <col min="12558" max="12558" width="9" style="1"/>
    <col min="12559" max="12560" width="11" style="1" bestFit="1" customWidth="1"/>
    <col min="12561" max="12801" width="9" style="1"/>
    <col min="12802" max="12802" width="15.25" style="1" customWidth="1"/>
    <col min="12803" max="12803" width="10.5" style="1" customWidth="1"/>
    <col min="12804" max="12804" width="12.75" style="1" customWidth="1"/>
    <col min="12805" max="12805" width="10.375" style="1" customWidth="1"/>
    <col min="12806" max="12807" width="11" style="1" bestFit="1" customWidth="1"/>
    <col min="12808" max="12808" width="9.25" style="1" bestFit="1" customWidth="1"/>
    <col min="12809" max="12810" width="11" style="1" bestFit="1" customWidth="1"/>
    <col min="12811" max="12811" width="9" style="1"/>
    <col min="12812" max="12813" width="11" style="1" bestFit="1" customWidth="1"/>
    <col min="12814" max="12814" width="9" style="1"/>
    <col min="12815" max="12816" width="11" style="1" bestFit="1" customWidth="1"/>
    <col min="12817" max="13057" width="9" style="1"/>
    <col min="13058" max="13058" width="15.25" style="1" customWidth="1"/>
    <col min="13059" max="13059" width="10.5" style="1" customWidth="1"/>
    <col min="13060" max="13060" width="12.75" style="1" customWidth="1"/>
    <col min="13061" max="13061" width="10.375" style="1" customWidth="1"/>
    <col min="13062" max="13063" width="11" style="1" bestFit="1" customWidth="1"/>
    <col min="13064" max="13064" width="9.25" style="1" bestFit="1" customWidth="1"/>
    <col min="13065" max="13066" width="11" style="1" bestFit="1" customWidth="1"/>
    <col min="13067" max="13067" width="9" style="1"/>
    <col min="13068" max="13069" width="11" style="1" bestFit="1" customWidth="1"/>
    <col min="13070" max="13070" width="9" style="1"/>
    <col min="13071" max="13072" width="11" style="1" bestFit="1" customWidth="1"/>
    <col min="13073" max="13313" width="9" style="1"/>
    <col min="13314" max="13314" width="15.25" style="1" customWidth="1"/>
    <col min="13315" max="13315" width="10.5" style="1" customWidth="1"/>
    <col min="13316" max="13316" width="12.75" style="1" customWidth="1"/>
    <col min="13317" max="13317" width="10.375" style="1" customWidth="1"/>
    <col min="13318" max="13319" width="11" style="1" bestFit="1" customWidth="1"/>
    <col min="13320" max="13320" width="9.25" style="1" bestFit="1" customWidth="1"/>
    <col min="13321" max="13322" width="11" style="1" bestFit="1" customWidth="1"/>
    <col min="13323" max="13323" width="9" style="1"/>
    <col min="13324" max="13325" width="11" style="1" bestFit="1" customWidth="1"/>
    <col min="13326" max="13326" width="9" style="1"/>
    <col min="13327" max="13328" width="11" style="1" bestFit="1" customWidth="1"/>
    <col min="13329" max="13569" width="9" style="1"/>
    <col min="13570" max="13570" width="15.25" style="1" customWidth="1"/>
    <col min="13571" max="13571" width="10.5" style="1" customWidth="1"/>
    <col min="13572" max="13572" width="12.75" style="1" customWidth="1"/>
    <col min="13573" max="13573" width="10.375" style="1" customWidth="1"/>
    <col min="13574" max="13575" width="11" style="1" bestFit="1" customWidth="1"/>
    <col min="13576" max="13576" width="9.25" style="1" bestFit="1" customWidth="1"/>
    <col min="13577" max="13578" width="11" style="1" bestFit="1" customWidth="1"/>
    <col min="13579" max="13579" width="9" style="1"/>
    <col min="13580" max="13581" width="11" style="1" bestFit="1" customWidth="1"/>
    <col min="13582" max="13582" width="9" style="1"/>
    <col min="13583" max="13584" width="11" style="1" bestFit="1" customWidth="1"/>
    <col min="13585" max="13825" width="9" style="1"/>
    <col min="13826" max="13826" width="15.25" style="1" customWidth="1"/>
    <col min="13827" max="13827" width="10.5" style="1" customWidth="1"/>
    <col min="13828" max="13828" width="12.75" style="1" customWidth="1"/>
    <col min="13829" max="13829" width="10.375" style="1" customWidth="1"/>
    <col min="13830" max="13831" width="11" style="1" bestFit="1" customWidth="1"/>
    <col min="13832" max="13832" width="9.25" style="1" bestFit="1" customWidth="1"/>
    <col min="13833" max="13834" width="11" style="1" bestFit="1" customWidth="1"/>
    <col min="13835" max="13835" width="9" style="1"/>
    <col min="13836" max="13837" width="11" style="1" bestFit="1" customWidth="1"/>
    <col min="13838" max="13838" width="9" style="1"/>
    <col min="13839" max="13840" width="11" style="1" bestFit="1" customWidth="1"/>
    <col min="13841" max="14081" width="9" style="1"/>
    <col min="14082" max="14082" width="15.25" style="1" customWidth="1"/>
    <col min="14083" max="14083" width="10.5" style="1" customWidth="1"/>
    <col min="14084" max="14084" width="12.75" style="1" customWidth="1"/>
    <col min="14085" max="14085" width="10.375" style="1" customWidth="1"/>
    <col min="14086" max="14087" width="11" style="1" bestFit="1" customWidth="1"/>
    <col min="14088" max="14088" width="9.25" style="1" bestFit="1" customWidth="1"/>
    <col min="14089" max="14090" width="11" style="1" bestFit="1" customWidth="1"/>
    <col min="14091" max="14091" width="9" style="1"/>
    <col min="14092" max="14093" width="11" style="1" bestFit="1" customWidth="1"/>
    <col min="14094" max="14094" width="9" style="1"/>
    <col min="14095" max="14096" width="11" style="1" bestFit="1" customWidth="1"/>
    <col min="14097" max="14337" width="9" style="1"/>
    <col min="14338" max="14338" width="15.25" style="1" customWidth="1"/>
    <col min="14339" max="14339" width="10.5" style="1" customWidth="1"/>
    <col min="14340" max="14340" width="12.75" style="1" customWidth="1"/>
    <col min="14341" max="14341" width="10.375" style="1" customWidth="1"/>
    <col min="14342" max="14343" width="11" style="1" bestFit="1" customWidth="1"/>
    <col min="14344" max="14344" width="9.25" style="1" bestFit="1" customWidth="1"/>
    <col min="14345" max="14346" width="11" style="1" bestFit="1" customWidth="1"/>
    <col min="14347" max="14347" width="9" style="1"/>
    <col min="14348" max="14349" width="11" style="1" bestFit="1" customWidth="1"/>
    <col min="14350" max="14350" width="9" style="1"/>
    <col min="14351" max="14352" width="11" style="1" bestFit="1" customWidth="1"/>
    <col min="14353" max="14593" width="9" style="1"/>
    <col min="14594" max="14594" width="15.25" style="1" customWidth="1"/>
    <col min="14595" max="14595" width="10.5" style="1" customWidth="1"/>
    <col min="14596" max="14596" width="12.75" style="1" customWidth="1"/>
    <col min="14597" max="14597" width="10.375" style="1" customWidth="1"/>
    <col min="14598" max="14599" width="11" style="1" bestFit="1" customWidth="1"/>
    <col min="14600" max="14600" width="9.25" style="1" bestFit="1" customWidth="1"/>
    <col min="14601" max="14602" width="11" style="1" bestFit="1" customWidth="1"/>
    <col min="14603" max="14603" width="9" style="1"/>
    <col min="14604" max="14605" width="11" style="1" bestFit="1" customWidth="1"/>
    <col min="14606" max="14606" width="9" style="1"/>
    <col min="14607" max="14608" width="11" style="1" bestFit="1" customWidth="1"/>
    <col min="14609" max="14849" width="9" style="1"/>
    <col min="14850" max="14850" width="15.25" style="1" customWidth="1"/>
    <col min="14851" max="14851" width="10.5" style="1" customWidth="1"/>
    <col min="14852" max="14852" width="12.75" style="1" customWidth="1"/>
    <col min="14853" max="14853" width="10.375" style="1" customWidth="1"/>
    <col min="14854" max="14855" width="11" style="1" bestFit="1" customWidth="1"/>
    <col min="14856" max="14856" width="9.25" style="1" bestFit="1" customWidth="1"/>
    <col min="14857" max="14858" width="11" style="1" bestFit="1" customWidth="1"/>
    <col min="14859" max="14859" width="9" style="1"/>
    <col min="14860" max="14861" width="11" style="1" bestFit="1" customWidth="1"/>
    <col min="14862" max="14862" width="9" style="1"/>
    <col min="14863" max="14864" width="11" style="1" bestFit="1" customWidth="1"/>
    <col min="14865" max="15105" width="9" style="1"/>
    <col min="15106" max="15106" width="15.25" style="1" customWidth="1"/>
    <col min="15107" max="15107" width="10.5" style="1" customWidth="1"/>
    <col min="15108" max="15108" width="12.75" style="1" customWidth="1"/>
    <col min="15109" max="15109" width="10.375" style="1" customWidth="1"/>
    <col min="15110" max="15111" width="11" style="1" bestFit="1" customWidth="1"/>
    <col min="15112" max="15112" width="9.25" style="1" bestFit="1" customWidth="1"/>
    <col min="15113" max="15114" width="11" style="1" bestFit="1" customWidth="1"/>
    <col min="15115" max="15115" width="9" style="1"/>
    <col min="15116" max="15117" width="11" style="1" bestFit="1" customWidth="1"/>
    <col min="15118" max="15118" width="9" style="1"/>
    <col min="15119" max="15120" width="11" style="1" bestFit="1" customWidth="1"/>
    <col min="15121" max="15361" width="9" style="1"/>
    <col min="15362" max="15362" width="15.25" style="1" customWidth="1"/>
    <col min="15363" max="15363" width="10.5" style="1" customWidth="1"/>
    <col min="15364" max="15364" width="12.75" style="1" customWidth="1"/>
    <col min="15365" max="15365" width="10.375" style="1" customWidth="1"/>
    <col min="15366" max="15367" width="11" style="1" bestFit="1" customWidth="1"/>
    <col min="15368" max="15368" width="9.25" style="1" bestFit="1" customWidth="1"/>
    <col min="15369" max="15370" width="11" style="1" bestFit="1" customWidth="1"/>
    <col min="15371" max="15371" width="9" style="1"/>
    <col min="15372" max="15373" width="11" style="1" bestFit="1" customWidth="1"/>
    <col min="15374" max="15374" width="9" style="1"/>
    <col min="15375" max="15376" width="11" style="1" bestFit="1" customWidth="1"/>
    <col min="15377" max="15617" width="9" style="1"/>
    <col min="15618" max="15618" width="15.25" style="1" customWidth="1"/>
    <col min="15619" max="15619" width="10.5" style="1" customWidth="1"/>
    <col min="15620" max="15620" width="12.75" style="1" customWidth="1"/>
    <col min="15621" max="15621" width="10.375" style="1" customWidth="1"/>
    <col min="15622" max="15623" width="11" style="1" bestFit="1" customWidth="1"/>
    <col min="15624" max="15624" width="9.25" style="1" bestFit="1" customWidth="1"/>
    <col min="15625" max="15626" width="11" style="1" bestFit="1" customWidth="1"/>
    <col min="15627" max="15627" width="9" style="1"/>
    <col min="15628" max="15629" width="11" style="1" bestFit="1" customWidth="1"/>
    <col min="15630" max="15630" width="9" style="1"/>
    <col min="15631" max="15632" width="11" style="1" bestFit="1" customWidth="1"/>
    <col min="15633" max="15873" width="9" style="1"/>
    <col min="15874" max="15874" width="15.25" style="1" customWidth="1"/>
    <col min="15875" max="15875" width="10.5" style="1" customWidth="1"/>
    <col min="15876" max="15876" width="12.75" style="1" customWidth="1"/>
    <col min="15877" max="15877" width="10.375" style="1" customWidth="1"/>
    <col min="15878" max="15879" width="11" style="1" bestFit="1" customWidth="1"/>
    <col min="15880" max="15880" width="9.25" style="1" bestFit="1" customWidth="1"/>
    <col min="15881" max="15882" width="11" style="1" bestFit="1" customWidth="1"/>
    <col min="15883" max="15883" width="9" style="1"/>
    <col min="15884" max="15885" width="11" style="1" bestFit="1" customWidth="1"/>
    <col min="15886" max="15886" width="9" style="1"/>
    <col min="15887" max="15888" width="11" style="1" bestFit="1" customWidth="1"/>
    <col min="15889" max="16129" width="9" style="1"/>
    <col min="16130" max="16130" width="15.25" style="1" customWidth="1"/>
    <col min="16131" max="16131" width="10.5" style="1" customWidth="1"/>
    <col min="16132" max="16132" width="12.75" style="1" customWidth="1"/>
    <col min="16133" max="16133" width="10.375" style="1" customWidth="1"/>
    <col min="16134" max="16135" width="11" style="1" bestFit="1" customWidth="1"/>
    <col min="16136" max="16136" width="9.25" style="1" bestFit="1" customWidth="1"/>
    <col min="16137" max="16138" width="11" style="1" bestFit="1" customWidth="1"/>
    <col min="16139" max="16139" width="9" style="1"/>
    <col min="16140" max="16141" width="11" style="1" bestFit="1" customWidth="1"/>
    <col min="16142" max="16142" width="9" style="1"/>
    <col min="16143" max="16144" width="11" style="1" bestFit="1" customWidth="1"/>
    <col min="16145" max="16384" width="9" style="1"/>
  </cols>
  <sheetData>
    <row r="1" spans="1:21">
      <c r="A1" s="414" t="s">
        <v>121</v>
      </c>
      <c r="B1" s="413"/>
      <c r="C1" s="413"/>
    </row>
    <row r="2" spans="1:21">
      <c r="A2" s="5"/>
      <c r="B2" s="2"/>
      <c r="C2" s="1" t="s">
        <v>138</v>
      </c>
      <c r="D2" s="2" t="s">
        <v>143</v>
      </c>
      <c r="E2" s="2" t="s">
        <v>144</v>
      </c>
      <c r="G2" s="1" t="s">
        <v>139</v>
      </c>
      <c r="H2" s="2" t="s">
        <v>143</v>
      </c>
      <c r="I2" s="2" t="s">
        <v>144</v>
      </c>
      <c r="K2" s="1" t="s">
        <v>140</v>
      </c>
      <c r="L2" s="2" t="s">
        <v>143</v>
      </c>
      <c r="M2" s="2" t="s">
        <v>144</v>
      </c>
      <c r="O2" s="1" t="s">
        <v>141</v>
      </c>
      <c r="P2" s="2" t="s">
        <v>143</v>
      </c>
      <c r="Q2" s="2" t="s">
        <v>144</v>
      </c>
      <c r="S2" s="1" t="s">
        <v>142</v>
      </c>
      <c r="T2" s="2" t="s">
        <v>143</v>
      </c>
      <c r="U2" s="2" t="s">
        <v>144</v>
      </c>
    </row>
    <row r="3" spans="1:21">
      <c r="A3" s="5"/>
      <c r="B3" s="2"/>
      <c r="C3" s="4">
        <v>0</v>
      </c>
      <c r="D3" s="4">
        <v>0</v>
      </c>
      <c r="E3" s="7">
        <v>0</v>
      </c>
      <c r="F3" s="6"/>
      <c r="G3" s="7">
        <v>0</v>
      </c>
      <c r="H3" s="7">
        <v>0</v>
      </c>
      <c r="I3" s="7">
        <v>0</v>
      </c>
      <c r="J3" s="6"/>
      <c r="K3" s="7">
        <v>0</v>
      </c>
      <c r="L3" s="7">
        <v>0</v>
      </c>
      <c r="M3" s="7">
        <v>0</v>
      </c>
      <c r="N3" s="6"/>
      <c r="O3" s="7">
        <v>0</v>
      </c>
      <c r="P3" s="7">
        <v>0</v>
      </c>
      <c r="Q3" s="7">
        <v>0</v>
      </c>
      <c r="R3" s="6"/>
      <c r="S3" s="7">
        <v>0</v>
      </c>
      <c r="T3" s="7">
        <v>0</v>
      </c>
      <c r="U3" s="7">
        <v>0</v>
      </c>
    </row>
    <row r="4" spans="1:21">
      <c r="A4" s="5"/>
      <c r="B4" s="2"/>
      <c r="C4" s="4">
        <v>551000</v>
      </c>
      <c r="D4" s="4">
        <f>基礎情報入力シート!C9-550000</f>
        <v>-550000</v>
      </c>
      <c r="E4" s="7">
        <f>E3</f>
        <v>0</v>
      </c>
      <c r="F4" s="6"/>
      <c r="G4" s="7">
        <v>551000</v>
      </c>
      <c r="H4" s="7">
        <f>基礎情報入力シート!D9-550000</f>
        <v>-550000</v>
      </c>
      <c r="I4" s="7">
        <f>I3</f>
        <v>0</v>
      </c>
      <c r="J4" s="6"/>
      <c r="K4" s="7">
        <v>551000</v>
      </c>
      <c r="L4" s="7">
        <f>基礎情報入力シート!E9-550000</f>
        <v>-550000</v>
      </c>
      <c r="M4" s="7">
        <f>M3</f>
        <v>0</v>
      </c>
      <c r="N4" s="6"/>
      <c r="O4" s="7">
        <v>551000</v>
      </c>
      <c r="P4" s="7">
        <f>基礎情報入力シート!F9-550000</f>
        <v>-550000</v>
      </c>
      <c r="Q4" s="7">
        <f>Q3</f>
        <v>0</v>
      </c>
      <c r="R4" s="6"/>
      <c r="S4" s="7">
        <v>551000</v>
      </c>
      <c r="T4" s="7">
        <f>基礎情報入力シート!G9-550000</f>
        <v>-550000</v>
      </c>
      <c r="U4" s="7">
        <f>U3</f>
        <v>0</v>
      </c>
    </row>
    <row r="5" spans="1:21">
      <c r="A5" s="5"/>
      <c r="B5" s="2"/>
      <c r="C5" s="4">
        <v>651000</v>
      </c>
      <c r="D5" s="4">
        <f>D4</f>
        <v>-550000</v>
      </c>
      <c r="E5" s="7">
        <f>基礎情報入力シート!C9-650000</f>
        <v>-650000</v>
      </c>
      <c r="F5" s="6"/>
      <c r="G5" s="7">
        <v>651000</v>
      </c>
      <c r="H5" s="4">
        <f>H4</f>
        <v>-550000</v>
      </c>
      <c r="I5" s="7">
        <f>基礎情報入力シート!D9-650000</f>
        <v>-650000</v>
      </c>
      <c r="J5" s="6"/>
      <c r="K5" s="7">
        <v>651000</v>
      </c>
      <c r="L5" s="4">
        <f>L4</f>
        <v>-550000</v>
      </c>
      <c r="M5" s="7">
        <f>基礎情報入力シート!E9-650000</f>
        <v>-650000</v>
      </c>
      <c r="N5" s="6"/>
      <c r="O5" s="7">
        <v>651000</v>
      </c>
      <c r="P5" s="4">
        <f>P4</f>
        <v>-550000</v>
      </c>
      <c r="Q5" s="7">
        <f>基礎情報入力シート!F9-650000</f>
        <v>-650000</v>
      </c>
      <c r="R5" s="6"/>
      <c r="S5" s="7">
        <v>651000</v>
      </c>
      <c r="T5" s="4">
        <f>T4</f>
        <v>-550000</v>
      </c>
      <c r="U5" s="7">
        <f>基礎情報入力シート!G9-650000</f>
        <v>-650000</v>
      </c>
    </row>
    <row r="6" spans="1:21">
      <c r="A6" s="5"/>
      <c r="B6" s="2"/>
      <c r="C6" s="4">
        <v>1619000</v>
      </c>
      <c r="D6" s="4">
        <v>1069000</v>
      </c>
      <c r="E6" s="7">
        <f>E5</f>
        <v>-650000</v>
      </c>
      <c r="F6" s="6"/>
      <c r="G6" s="7">
        <v>1619000</v>
      </c>
      <c r="H6" s="7">
        <v>1069000</v>
      </c>
      <c r="I6" s="7">
        <f>I5</f>
        <v>-650000</v>
      </c>
      <c r="J6" s="6"/>
      <c r="K6" s="7">
        <v>1619000</v>
      </c>
      <c r="L6" s="7">
        <v>1069000</v>
      </c>
      <c r="M6" s="7">
        <f>M5</f>
        <v>-650000</v>
      </c>
      <c r="N6" s="6"/>
      <c r="O6" s="7">
        <v>1619000</v>
      </c>
      <c r="P6" s="7">
        <v>1069000</v>
      </c>
      <c r="Q6" s="7">
        <f>Q5</f>
        <v>-650000</v>
      </c>
      <c r="R6" s="6"/>
      <c r="S6" s="7">
        <v>1619000</v>
      </c>
      <c r="T6" s="7">
        <v>1069000</v>
      </c>
      <c r="U6" s="7">
        <f>U5</f>
        <v>-650000</v>
      </c>
    </row>
    <row r="7" spans="1:21">
      <c r="A7" s="5"/>
      <c r="B7" s="2"/>
      <c r="C7" s="4">
        <v>1620000</v>
      </c>
      <c r="D7" s="4">
        <v>1070000</v>
      </c>
      <c r="E7" s="7">
        <f>E5</f>
        <v>-650000</v>
      </c>
      <c r="F7" s="6"/>
      <c r="G7" s="7">
        <v>1620000</v>
      </c>
      <c r="H7" s="7">
        <v>1070000</v>
      </c>
      <c r="I7" s="7">
        <f>I5</f>
        <v>-650000</v>
      </c>
      <c r="J7" s="6"/>
      <c r="K7" s="7">
        <v>1620000</v>
      </c>
      <c r="L7" s="7">
        <v>1070000</v>
      </c>
      <c r="M7" s="7">
        <f>M5</f>
        <v>-650000</v>
      </c>
      <c r="N7" s="6"/>
      <c r="O7" s="7">
        <v>1620000</v>
      </c>
      <c r="P7" s="7">
        <v>1070000</v>
      </c>
      <c r="Q7" s="7">
        <f>Q5</f>
        <v>-650000</v>
      </c>
      <c r="R7" s="6"/>
      <c r="S7" s="7">
        <v>1620000</v>
      </c>
      <c r="T7" s="7">
        <v>1070000</v>
      </c>
      <c r="U7" s="7">
        <f>U5</f>
        <v>-650000</v>
      </c>
    </row>
    <row r="8" spans="1:21">
      <c r="A8" s="5"/>
      <c r="B8" s="2"/>
      <c r="C8" s="4">
        <v>1622000</v>
      </c>
      <c r="D8" s="4">
        <v>1072000</v>
      </c>
      <c r="E8" s="7">
        <f>E5</f>
        <v>-650000</v>
      </c>
      <c r="F8" s="6"/>
      <c r="G8" s="7">
        <v>1622000</v>
      </c>
      <c r="H8" s="7">
        <v>1072000</v>
      </c>
      <c r="I8" s="7">
        <f>I5</f>
        <v>-650000</v>
      </c>
      <c r="J8" s="6"/>
      <c r="K8" s="7">
        <v>1622000</v>
      </c>
      <c r="L8" s="7">
        <v>1072000</v>
      </c>
      <c r="M8" s="7">
        <f>M5</f>
        <v>-650000</v>
      </c>
      <c r="N8" s="6"/>
      <c r="O8" s="7">
        <v>1622000</v>
      </c>
      <c r="P8" s="7">
        <v>1072000</v>
      </c>
      <c r="Q8" s="7">
        <f>Q5</f>
        <v>-650000</v>
      </c>
      <c r="R8" s="6"/>
      <c r="S8" s="7">
        <v>1622000</v>
      </c>
      <c r="T8" s="7">
        <v>1072000</v>
      </c>
      <c r="U8" s="7">
        <f>U5</f>
        <v>-650000</v>
      </c>
    </row>
    <row r="9" spans="1:21">
      <c r="A9" s="5"/>
      <c r="B9" s="2"/>
      <c r="C9" s="4">
        <v>1624000</v>
      </c>
      <c r="D9" s="4">
        <v>1074000</v>
      </c>
      <c r="E9" s="7">
        <f>E5</f>
        <v>-650000</v>
      </c>
      <c r="F9" s="6"/>
      <c r="G9" s="7">
        <v>1624000</v>
      </c>
      <c r="H9" s="7">
        <v>1074000</v>
      </c>
      <c r="I9" s="7">
        <f>I5</f>
        <v>-650000</v>
      </c>
      <c r="J9" s="6"/>
      <c r="K9" s="7">
        <v>1624000</v>
      </c>
      <c r="L9" s="7">
        <v>1074000</v>
      </c>
      <c r="M9" s="7">
        <f>M5</f>
        <v>-650000</v>
      </c>
      <c r="N9" s="6"/>
      <c r="O9" s="7">
        <v>1624000</v>
      </c>
      <c r="P9" s="7">
        <v>1074000</v>
      </c>
      <c r="Q9" s="7">
        <f>Q5</f>
        <v>-650000</v>
      </c>
      <c r="R9" s="6"/>
      <c r="S9" s="7">
        <v>1624000</v>
      </c>
      <c r="T9" s="7">
        <v>1074000</v>
      </c>
      <c r="U9" s="7">
        <f>U5</f>
        <v>-650000</v>
      </c>
    </row>
    <row r="10" spans="1:21">
      <c r="A10" s="5"/>
      <c r="B10" s="2"/>
      <c r="C10" s="4">
        <v>1628000</v>
      </c>
      <c r="D10" s="4">
        <f>ROUNDDOWN(基礎情報入力シート!C9/4,-3)*2.4+100000</f>
        <v>100000</v>
      </c>
      <c r="E10" s="7">
        <f>E5</f>
        <v>-650000</v>
      </c>
      <c r="F10" s="6"/>
      <c r="G10" s="7">
        <v>1628000</v>
      </c>
      <c r="H10" s="7">
        <f>ROUNDDOWN(基礎情報入力シート!D9/4,-3)*2.4+100000</f>
        <v>100000</v>
      </c>
      <c r="I10" s="7">
        <f>I5</f>
        <v>-650000</v>
      </c>
      <c r="J10" s="6"/>
      <c r="K10" s="7">
        <v>1628000</v>
      </c>
      <c r="L10" s="7">
        <f>ROUNDDOWN(基礎情報入力シート!E9/4,-3)*2.4+100000</f>
        <v>100000</v>
      </c>
      <c r="M10" s="7">
        <f>M5</f>
        <v>-650000</v>
      </c>
      <c r="N10" s="6"/>
      <c r="O10" s="7">
        <v>1628000</v>
      </c>
      <c r="P10" s="7">
        <f>ROUNDDOWN(基礎情報入力シート!F9/4,-3)*2.4+100000</f>
        <v>100000</v>
      </c>
      <c r="Q10" s="7">
        <f>Q5</f>
        <v>-650000</v>
      </c>
      <c r="R10" s="6"/>
      <c r="S10" s="7">
        <v>1628000</v>
      </c>
      <c r="T10" s="7">
        <f>ROUNDDOWN(基礎情報入力シート!G9/4,-3)*2.4+100000</f>
        <v>100000</v>
      </c>
      <c r="U10" s="7">
        <f>U5</f>
        <v>-650000</v>
      </c>
    </row>
    <row r="11" spans="1:21">
      <c r="A11" s="5"/>
      <c r="B11" s="2"/>
      <c r="C11" s="4">
        <v>1800000</v>
      </c>
      <c r="D11" s="4">
        <f>ROUNDDOWN(基礎情報入力シート!C9/4,-3)*2.8-80000</f>
        <v>-80000</v>
      </c>
      <c r="E11" s="7">
        <f>E5</f>
        <v>-650000</v>
      </c>
      <c r="F11" s="6"/>
      <c r="G11" s="7">
        <v>1800000</v>
      </c>
      <c r="H11" s="7">
        <f>ROUNDDOWN(基礎情報入力シート!D9/4,-3)*2.8-80000</f>
        <v>-80000</v>
      </c>
      <c r="I11" s="7">
        <f>I5</f>
        <v>-650000</v>
      </c>
      <c r="J11" s="6"/>
      <c r="K11" s="7">
        <v>1800000</v>
      </c>
      <c r="L11" s="7">
        <f>ROUNDDOWN(基礎情報入力シート!E9/4,-3)*2.8-80000</f>
        <v>-80000</v>
      </c>
      <c r="M11" s="7">
        <f>M5</f>
        <v>-650000</v>
      </c>
      <c r="N11" s="6"/>
      <c r="O11" s="7">
        <v>1800000</v>
      </c>
      <c r="P11" s="7">
        <f>ROUNDDOWN(基礎情報入力シート!F9/4,-3)*2.8-80000</f>
        <v>-80000</v>
      </c>
      <c r="Q11" s="7">
        <f>Q5</f>
        <v>-650000</v>
      </c>
      <c r="R11" s="6"/>
      <c r="S11" s="7">
        <v>1800000</v>
      </c>
      <c r="T11" s="7">
        <f>ROUNDDOWN(基礎情報入力シート!G9/4,-3)*2.8-80000</f>
        <v>-80000</v>
      </c>
      <c r="U11" s="7">
        <f>U5</f>
        <v>-650000</v>
      </c>
    </row>
    <row r="12" spans="1:21">
      <c r="A12" s="5"/>
      <c r="B12" s="2"/>
      <c r="C12" s="4">
        <v>1900000</v>
      </c>
      <c r="D12" s="4">
        <f>ROUNDDOWN(基礎情報入力シート!C9/4,-3)*2.8-80000</f>
        <v>-80000</v>
      </c>
      <c r="E12" s="7">
        <f>ROUNDDOWN(基礎情報入力シート!C9/4,-3)*2.8-80000</f>
        <v>-80000</v>
      </c>
      <c r="F12" s="6"/>
      <c r="G12" s="4">
        <v>1900000</v>
      </c>
      <c r="H12" s="7">
        <f>ROUNDDOWN(基礎情報入力シート!D9/4,-3)*2.8-80000</f>
        <v>-80000</v>
      </c>
      <c r="I12" s="7">
        <f>ROUNDDOWN(基礎情報入力シート!D9/4,-3)*2.8-80000</f>
        <v>-80000</v>
      </c>
      <c r="J12" s="6"/>
      <c r="K12" s="4">
        <v>1900000</v>
      </c>
      <c r="L12" s="7">
        <f>ROUNDDOWN(基礎情報入力シート!E9/4,-3)*2.8-80000</f>
        <v>-80000</v>
      </c>
      <c r="M12" s="7">
        <f>ROUNDDOWN(基礎情報入力シート!E9/4,-3)*2.8-80000</f>
        <v>-80000</v>
      </c>
      <c r="N12" s="6"/>
      <c r="O12" s="4">
        <v>1900000</v>
      </c>
      <c r="P12" s="7">
        <f>ROUNDDOWN(基礎情報入力シート!F9/4,-3)*2.8-80000</f>
        <v>-80000</v>
      </c>
      <c r="Q12" s="7">
        <f>ROUNDDOWN(基礎情報入力シート!F9/4,-3)*2.8-80000</f>
        <v>-80000</v>
      </c>
      <c r="R12" s="6"/>
      <c r="S12" s="4">
        <v>1900000</v>
      </c>
      <c r="T12" s="7">
        <f>ROUNDDOWN(基礎情報入力シート!G9/4,-3)*2.8-80000</f>
        <v>-80000</v>
      </c>
      <c r="U12" s="7">
        <f>ROUNDDOWN(基礎情報入力シート!G9/4,-3)*2.8-80000</f>
        <v>-80000</v>
      </c>
    </row>
    <row r="13" spans="1:21">
      <c r="A13" s="5"/>
      <c r="B13" s="2"/>
      <c r="C13" s="4">
        <v>3600000</v>
      </c>
      <c r="D13" s="4">
        <f>ROUNDDOWN(基礎情報入力シート!C9/4,-3)*3.2-440000</f>
        <v>-440000</v>
      </c>
      <c r="E13" s="7">
        <f>ROUNDDOWN(基礎情報入力シート!C9/4,-3)*3.2-440000</f>
        <v>-440000</v>
      </c>
      <c r="F13" s="6"/>
      <c r="G13" s="7">
        <v>3600000</v>
      </c>
      <c r="H13" s="7">
        <f>ROUNDDOWN(基礎情報入力シート!D9/4,-3)*3.2-440000</f>
        <v>-440000</v>
      </c>
      <c r="I13" s="7">
        <f>ROUNDDOWN(基礎情報入力シート!D9/4,-3)*3.2-440000</f>
        <v>-440000</v>
      </c>
      <c r="J13" s="6"/>
      <c r="K13" s="7">
        <v>3600000</v>
      </c>
      <c r="L13" s="7">
        <f>ROUNDDOWN(基礎情報入力シート!E9/4,-3)*3.2-440000</f>
        <v>-440000</v>
      </c>
      <c r="M13" s="7">
        <f>ROUNDDOWN(基礎情報入力シート!E9/4,-3)*3.2-440000</f>
        <v>-440000</v>
      </c>
      <c r="N13" s="6"/>
      <c r="O13" s="7">
        <v>3600000</v>
      </c>
      <c r="P13" s="7">
        <f>ROUNDDOWN(基礎情報入力シート!F9/4,-3)*3.2-440000</f>
        <v>-440000</v>
      </c>
      <c r="Q13" s="7">
        <f>ROUNDDOWN(基礎情報入力シート!F9/4,-3)*3.2-440000</f>
        <v>-440000</v>
      </c>
      <c r="R13" s="6"/>
      <c r="S13" s="7">
        <v>3600000</v>
      </c>
      <c r="T13" s="7">
        <f>ROUNDDOWN(基礎情報入力シート!G9/4,-3)*3.2-440000</f>
        <v>-440000</v>
      </c>
      <c r="U13" s="7">
        <f>ROUNDDOWN(基礎情報入力シート!G9/4,-3)*3.2-440000</f>
        <v>-440000</v>
      </c>
    </row>
    <row r="14" spans="1:21">
      <c r="A14" s="5"/>
      <c r="B14" s="2"/>
      <c r="C14" s="4">
        <v>6600000</v>
      </c>
      <c r="D14" s="4">
        <f>ROUNDDOWN(基礎情報入力シート!C9*0.9,0)-1100000</f>
        <v>-1100000</v>
      </c>
      <c r="E14" s="7">
        <f>ROUNDDOWN(基礎情報入力シート!C9*0.9,0)-1100000</f>
        <v>-1100000</v>
      </c>
      <c r="F14" s="6"/>
      <c r="G14" s="7">
        <v>6600000</v>
      </c>
      <c r="H14" s="7">
        <f>ROUNDDOWN(基礎情報入力シート!D9*0.9,0)-1100000</f>
        <v>-1100000</v>
      </c>
      <c r="I14" s="7">
        <f>ROUNDDOWN(基礎情報入力シート!D9*0.9,0)-1100000</f>
        <v>-1100000</v>
      </c>
      <c r="J14" s="6"/>
      <c r="K14" s="7">
        <v>6600000</v>
      </c>
      <c r="L14" s="7">
        <f>ROUNDDOWN(基礎情報入力シート!E9*0.9,0)-1100000</f>
        <v>-1100000</v>
      </c>
      <c r="M14" s="7">
        <f>ROUNDDOWN(基礎情報入力シート!E9*0.9,0)-1100000</f>
        <v>-1100000</v>
      </c>
      <c r="N14" s="6"/>
      <c r="O14" s="7">
        <v>6600000</v>
      </c>
      <c r="P14" s="7">
        <f>ROUNDDOWN(基礎情報入力シート!F9*0.9,0)-1100000</f>
        <v>-1100000</v>
      </c>
      <c r="Q14" s="7">
        <f>ROUNDDOWN(基礎情報入力シート!F9*0.9,0)-1100000</f>
        <v>-1100000</v>
      </c>
      <c r="R14" s="6"/>
      <c r="S14" s="7">
        <v>6600000</v>
      </c>
      <c r="T14" s="7">
        <f>ROUNDDOWN(基礎情報入力シート!G9*0.9,0)-1100000</f>
        <v>-1100000</v>
      </c>
      <c r="U14" s="7">
        <f>ROUNDDOWN(基礎情報入力シート!G9*0.9,0)-1100000</f>
        <v>-1100000</v>
      </c>
    </row>
    <row r="15" spans="1:21">
      <c r="A15" s="5"/>
      <c r="B15" s="2"/>
      <c r="C15" s="4">
        <v>8500000</v>
      </c>
      <c r="D15" s="4">
        <f>基礎情報入力シート!C9-1950000</f>
        <v>-1950000</v>
      </c>
      <c r="E15" s="7">
        <f>基礎情報入力シート!C9-1950000</f>
        <v>-1950000</v>
      </c>
      <c r="F15" s="6"/>
      <c r="G15" s="7">
        <v>8500000</v>
      </c>
      <c r="H15" s="7">
        <f>基礎情報入力シート!D9-1950000</f>
        <v>-1950000</v>
      </c>
      <c r="I15" s="7">
        <f>基礎情報入力シート!D9-1950000</f>
        <v>-1950000</v>
      </c>
      <c r="J15" s="6"/>
      <c r="K15" s="7">
        <v>8500000</v>
      </c>
      <c r="L15" s="7">
        <f>基礎情報入力シート!E9-1950000</f>
        <v>-1950000</v>
      </c>
      <c r="M15" s="7">
        <f>基礎情報入力シート!E9-1950000</f>
        <v>-1950000</v>
      </c>
      <c r="N15" s="6"/>
      <c r="O15" s="7">
        <v>8500000</v>
      </c>
      <c r="P15" s="7">
        <f>基礎情報入力シート!F9-1950000</f>
        <v>-1950000</v>
      </c>
      <c r="Q15" s="7">
        <f>基礎情報入力シート!F9-1950000</f>
        <v>-1950000</v>
      </c>
      <c r="R15" s="6"/>
      <c r="S15" s="7">
        <v>8500000</v>
      </c>
      <c r="T15" s="7">
        <f>基礎情報入力シート!G9-1950000</f>
        <v>-1950000</v>
      </c>
      <c r="U15" s="7">
        <f>基礎情報入力シート!G9-1950000</f>
        <v>-1950000</v>
      </c>
    </row>
    <row r="16" spans="1:21">
      <c r="A16" s="5"/>
      <c r="B16" s="2"/>
      <c r="C16" s="4"/>
      <c r="D16" s="4"/>
      <c r="E16" s="7"/>
      <c r="F16" s="6"/>
      <c r="G16" s="4"/>
      <c r="H16" s="4"/>
      <c r="I16" s="7"/>
      <c r="J16" s="6"/>
      <c r="K16" s="4"/>
      <c r="L16" s="4"/>
      <c r="M16" s="7"/>
      <c r="N16" s="6"/>
      <c r="O16" s="4"/>
      <c r="P16" s="4"/>
      <c r="Q16" s="7"/>
      <c r="R16" s="6"/>
      <c r="S16" s="4"/>
      <c r="T16" s="4"/>
      <c r="U16" s="7"/>
    </row>
    <row r="17" spans="1:21">
      <c r="A17" s="5"/>
      <c r="B17" s="2"/>
      <c r="C17" s="4"/>
      <c r="D17" s="4"/>
      <c r="E17" s="7"/>
      <c r="F17" s="6"/>
      <c r="G17" s="4"/>
      <c r="H17" s="7"/>
      <c r="I17" s="7"/>
      <c r="J17" s="6"/>
      <c r="K17" s="4"/>
      <c r="L17" s="7"/>
      <c r="M17" s="7"/>
      <c r="N17" s="6"/>
      <c r="O17" s="4"/>
      <c r="P17" s="7"/>
      <c r="Q17" s="7"/>
      <c r="R17" s="6"/>
      <c r="S17" s="4"/>
      <c r="T17" s="7"/>
      <c r="U17" s="7"/>
    </row>
    <row r="18" spans="1:21">
      <c r="A18" s="5"/>
      <c r="B18" s="2"/>
      <c r="C18" s="56"/>
      <c r="D18" s="56"/>
      <c r="E18" s="6"/>
      <c r="F18" s="6"/>
      <c r="G18" s="56"/>
      <c r="H18" s="57"/>
      <c r="I18" s="6"/>
      <c r="J18" s="6"/>
      <c r="K18" s="56"/>
      <c r="L18" s="57"/>
      <c r="M18" s="6"/>
      <c r="N18" s="6"/>
      <c r="O18" s="56"/>
      <c r="P18" s="57"/>
      <c r="Q18" s="6"/>
      <c r="R18" s="6"/>
      <c r="S18" s="56"/>
      <c r="T18" s="57"/>
    </row>
    <row r="19" spans="1:21">
      <c r="A19" s="414" t="s">
        <v>120</v>
      </c>
      <c r="B19" s="413"/>
      <c r="C19" s="413"/>
    </row>
    <row r="20" spans="1:21">
      <c r="B20" s="3">
        <f>EDATE(DATEVALUE(基礎情報入力シート!A1&amp;基礎情報入力シート!B1&amp;"年1月1日"),-780)</f>
        <v>22282</v>
      </c>
      <c r="C20" s="1" t="s">
        <v>15</v>
      </c>
    </row>
    <row r="21" spans="1:21">
      <c r="A21" s="5"/>
      <c r="C21" s="1" t="s">
        <v>112</v>
      </c>
      <c r="D21" s="2" t="s">
        <v>145</v>
      </c>
      <c r="E21" s="2" t="s">
        <v>146</v>
      </c>
      <c r="G21" s="1" t="s">
        <v>113</v>
      </c>
      <c r="H21" s="2" t="s">
        <v>145</v>
      </c>
      <c r="I21" s="2" t="s">
        <v>146</v>
      </c>
      <c r="K21" s="1" t="s">
        <v>114</v>
      </c>
      <c r="L21" s="2" t="s">
        <v>145</v>
      </c>
      <c r="M21" s="2" t="s">
        <v>146</v>
      </c>
      <c r="O21" s="1" t="s">
        <v>115</v>
      </c>
      <c r="P21" s="2" t="s">
        <v>145</v>
      </c>
      <c r="Q21" s="2" t="s">
        <v>146</v>
      </c>
      <c r="S21" s="1" t="s">
        <v>116</v>
      </c>
      <c r="T21" s="2" t="s">
        <v>145</v>
      </c>
      <c r="U21" s="2" t="s">
        <v>146</v>
      </c>
    </row>
    <row r="22" spans="1:21">
      <c r="A22" s="5"/>
      <c r="C22" s="4">
        <v>0</v>
      </c>
      <c r="D22" s="4">
        <f>IF(基礎情報入力シート!C12+基礎情報入力シート!C17&lt;=10000000,MAX(基礎情報入力シート!C13-1100000,0),IF(基礎情報入力シート!C12+基礎情報入力シート!C17&lt;=20000000,MAX(基礎情報入力シート!C13-1000000,0),MAX(基礎情報入力シート!C13-900000,0)))</f>
        <v>0</v>
      </c>
      <c r="E22" s="4">
        <f>IF(基礎情報入力シート!C12+基礎情報入力シート!C17&lt;=10000000,MAX(基礎情報入力シート!C13-1100000,0),IF(基礎情報入力シート!C12+基礎情報入力シート!C17&lt;=20000000,MAX(基礎情報入力シート!C13-1000000,0),MAX(基礎情報入力シート!C13-900000,0)))</f>
        <v>0</v>
      </c>
      <c r="F22" s="8"/>
      <c r="G22" s="4">
        <v>0</v>
      </c>
      <c r="H22" s="4">
        <f>IF(基礎情報入力シート!D12+基礎情報入力シート!D17&lt;=10000000,MAX(基礎情報入力シート!D13-1100000,0),IF(基礎情報入力シート!D12+基礎情報入力シート!D17&lt;=20000000,MAX(基礎情報入力シート!D13-1000000,0),MAX(基礎情報入力シート!D13-900000,0)))</f>
        <v>0</v>
      </c>
      <c r="I22" s="4">
        <f>IF(基礎情報入力シート!D12+基礎情報入力シート!D17&lt;=10000000,MAX(基礎情報入力シート!D13-1100000,0),IF(基礎情報入力シート!D12+基礎情報入力シート!D17&lt;=20000000,MAX(基礎情報入力シート!D13-1000000,0),MAX(基礎情報入力シート!D13-900000,0)))</f>
        <v>0</v>
      </c>
      <c r="J22" s="8"/>
      <c r="K22" s="4">
        <v>0</v>
      </c>
      <c r="L22" s="4">
        <f>IF(基礎情報入力シート!E12+基礎情報入力シート!E17&lt;=10000000,MAX(基礎情報入力シート!E13-1100000,0),IF(基礎情報入力シート!E12+基礎情報入力シート!E17&lt;=20000000,MAX(基礎情報入力シート!E13-1000000,0),MAX(基礎情報入力シート!E13-900000,0)))</f>
        <v>0</v>
      </c>
      <c r="M22" s="4">
        <f>IF(基礎情報入力シート!E12+基礎情報入力シート!E17&lt;=10000000,MAX(基礎情報入力シート!E13-1100000,0),IF(基礎情報入力シート!E12+基礎情報入力シート!E17&lt;=20000000,MAX(基礎情報入力シート!E13-1000000,0),MAX(基礎情報入力シート!E13-900000,0)))</f>
        <v>0</v>
      </c>
      <c r="N22" s="8"/>
      <c r="O22" s="4">
        <v>0</v>
      </c>
      <c r="P22" s="4">
        <f>IF(基礎情報入力シート!F12+基礎情報入力シート!F17&lt;=10000000,MAX(基礎情報入力シート!F13-1100000,0),IF(基礎情報入力シート!F12+基礎情報入力シート!F17&lt;=20000000,MAX(基礎情報入力シート!F13-1000000,0),MAX(基礎情報入力シート!F13-900000,0)))</f>
        <v>0</v>
      </c>
      <c r="Q22" s="4">
        <f>IF(基礎情報入力シート!F12+基礎情報入力シート!F17&lt;=10000000,MAX(基礎情報入力シート!F13-1100000,0),IF(基礎情報入力シート!F12+基礎情報入力シート!F17&lt;=20000000,MAX(基礎情報入力シート!F13-1000000,0),MAX(基礎情報入力シート!F13-900000,0)))</f>
        <v>0</v>
      </c>
      <c r="R22" s="8"/>
      <c r="S22" s="4">
        <v>0</v>
      </c>
      <c r="T22" s="4">
        <f>IF(基礎情報入力シート!G12+基礎情報入力シート!G17&lt;=10000000,MAX(基礎情報入力シート!G13-1100000,0),IF(基礎情報入力シート!G12+基礎情報入力シート!G17&lt;=20000000,MAX(基礎情報入力シート!G13-1000000,0),MAX(基礎情報入力シート!G13-900000,0)))</f>
        <v>0</v>
      </c>
      <c r="U22" s="4">
        <f>IF(基礎情報入力シート!G12+基礎情報入力シート!G17&lt;=10000000,MAX(基礎情報入力シート!G13-1100000,0),IF(基礎情報入力シート!G12+基礎情報入力シート!G17&lt;=20000000,MAX(基礎情報入力シート!G13-1000000,0),MAX(基礎情報入力シート!G13-900000,0)))</f>
        <v>0</v>
      </c>
    </row>
    <row r="23" spans="1:21">
      <c r="A23" s="5"/>
      <c r="C23" s="4">
        <v>1200001</v>
      </c>
      <c r="D23" s="4">
        <f>D22</f>
        <v>0</v>
      </c>
      <c r="E23" s="4">
        <f>E22</f>
        <v>0</v>
      </c>
      <c r="F23" s="8"/>
      <c r="G23" s="4">
        <v>1200001</v>
      </c>
      <c r="H23" s="4">
        <f>H22</f>
        <v>0</v>
      </c>
      <c r="I23" s="4">
        <f>I22</f>
        <v>0</v>
      </c>
      <c r="J23" s="8"/>
      <c r="K23" s="4">
        <v>1200001</v>
      </c>
      <c r="L23" s="4">
        <f>L22</f>
        <v>0</v>
      </c>
      <c r="M23" s="4">
        <f>M22</f>
        <v>0</v>
      </c>
      <c r="N23" s="8"/>
      <c r="O23" s="4">
        <v>1200001</v>
      </c>
      <c r="P23" s="4">
        <f>P22</f>
        <v>0</v>
      </c>
      <c r="Q23" s="4">
        <f>Q22</f>
        <v>0</v>
      </c>
      <c r="R23" s="8"/>
      <c r="S23" s="4">
        <v>1200001</v>
      </c>
      <c r="T23" s="4">
        <f>T22</f>
        <v>0</v>
      </c>
      <c r="U23" s="4">
        <f>U22</f>
        <v>0</v>
      </c>
    </row>
    <row r="24" spans="1:21">
      <c r="C24" s="4">
        <v>3300000</v>
      </c>
      <c r="D24" s="4">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24" s="4">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F24" s="8"/>
      <c r="G24" s="4">
        <v>3300000</v>
      </c>
      <c r="H24" s="4">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24" s="4">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J24" s="8"/>
      <c r="K24" s="4">
        <v>3300000</v>
      </c>
      <c r="L24" s="4">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24" s="4">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N24" s="8"/>
      <c r="O24" s="4">
        <v>3300000</v>
      </c>
      <c r="P24" s="4">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24" s="4">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R24" s="8"/>
      <c r="S24" s="4">
        <v>3300000</v>
      </c>
      <c r="T24" s="4">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24" s="4">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row>
    <row r="25" spans="1:21">
      <c r="C25" s="4">
        <v>4100000</v>
      </c>
      <c r="D25" s="4">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25" s="4">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F25" s="8"/>
      <c r="G25" s="4">
        <v>4100000</v>
      </c>
      <c r="H25" s="4">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25" s="4">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J25" s="8"/>
      <c r="K25" s="4">
        <v>4100000</v>
      </c>
      <c r="L25" s="4">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25" s="4">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N25" s="8"/>
      <c r="O25" s="4">
        <v>4100000</v>
      </c>
      <c r="P25" s="4">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25" s="4">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R25" s="8"/>
      <c r="S25" s="4">
        <v>4100000</v>
      </c>
      <c r="T25" s="4">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25" s="4">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row>
    <row r="26" spans="1:21">
      <c r="C26" s="4">
        <v>7700000</v>
      </c>
      <c r="D26" s="4">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26" s="4">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F26" s="8"/>
      <c r="G26" s="4">
        <v>7700000</v>
      </c>
      <c r="H26" s="4">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26" s="4">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J26" s="8"/>
      <c r="K26" s="4">
        <v>7700000</v>
      </c>
      <c r="L26" s="4">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26" s="4">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N26" s="8"/>
      <c r="O26" s="4">
        <v>7700000</v>
      </c>
      <c r="P26" s="4">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26" s="4">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R26" s="8"/>
      <c r="S26" s="4">
        <v>7700000</v>
      </c>
      <c r="T26" s="4">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26" s="4">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row>
    <row r="27" spans="1:21">
      <c r="C27" s="4">
        <v>10000000</v>
      </c>
      <c r="D27" s="4">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27" s="4">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F27" s="8"/>
      <c r="G27" s="4">
        <v>10000000</v>
      </c>
      <c r="H27" s="4">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27" s="4">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J27" s="8"/>
      <c r="K27" s="4">
        <v>10000000</v>
      </c>
      <c r="L27" s="4">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27" s="4">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N27" s="8"/>
      <c r="O27" s="4">
        <v>10000000</v>
      </c>
      <c r="P27" s="4">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27" s="4">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R27" s="8"/>
      <c r="S27" s="4">
        <v>10000000</v>
      </c>
      <c r="T27" s="4">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27" s="4">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row>
    <row r="29" spans="1:21">
      <c r="B29" s="3">
        <f>B20+1</f>
        <v>22283</v>
      </c>
      <c r="C29" s="1" t="s">
        <v>16</v>
      </c>
    </row>
    <row r="30" spans="1:21">
      <c r="C30" s="1" t="s">
        <v>117</v>
      </c>
      <c r="D30" s="2" t="s">
        <v>145</v>
      </c>
      <c r="E30" s="2" t="s">
        <v>146</v>
      </c>
      <c r="G30" s="1" t="s">
        <v>113</v>
      </c>
      <c r="H30" s="2" t="s">
        <v>145</v>
      </c>
      <c r="I30" s="2" t="s">
        <v>146</v>
      </c>
      <c r="K30" s="1" t="s">
        <v>114</v>
      </c>
      <c r="L30" s="2" t="s">
        <v>145</v>
      </c>
      <c r="M30" s="2" t="s">
        <v>146</v>
      </c>
      <c r="O30" s="1" t="s">
        <v>115</v>
      </c>
      <c r="P30" s="2" t="s">
        <v>145</v>
      </c>
      <c r="Q30" s="2" t="s">
        <v>146</v>
      </c>
      <c r="S30" s="1" t="s">
        <v>118</v>
      </c>
      <c r="T30" s="2" t="s">
        <v>145</v>
      </c>
      <c r="U30" s="2" t="s">
        <v>146</v>
      </c>
    </row>
    <row r="31" spans="1:21">
      <c r="C31" s="4">
        <v>0</v>
      </c>
      <c r="D31" s="4">
        <f>IF(基礎情報入力シート!C12+基礎情報入力シート!C17&lt;=10000000,MAX(基礎情報入力シート!C13-600000,0),IF(基礎情報入力シート!C12+基礎情報入力シート!C17&lt;=20000000,MAX(基礎情報入力シート!C13-500000,0),MAX(基礎情報入力シート!C13-400000,0)))</f>
        <v>0</v>
      </c>
      <c r="E31" s="4">
        <f>IF(基礎情報入力シート!C12+基礎情報入力シート!C17&lt;=10000000,MAX(基礎情報入力シート!C13-600000,0),IF(基礎情報入力シート!C12+基礎情報入力シート!C17&lt;=20000000,MAX(基礎情報入力シート!C13-500000,0),MAX(基礎情報入力シート!C13-400000,0)))</f>
        <v>0</v>
      </c>
      <c r="F31" s="8"/>
      <c r="G31" s="4">
        <v>0</v>
      </c>
      <c r="H31" s="4">
        <f>IF(基礎情報入力シート!D12+基礎情報入力シート!D17&lt;=10000000,MAX(基礎情報入力シート!D13-600000,0),IF(基礎情報入力シート!D12+基礎情報入力シート!D17&lt;=20000000,MAX(基礎情報入力シート!D13-500000,0),MAX(基礎情報入力シート!D13-400000,0)))</f>
        <v>0</v>
      </c>
      <c r="I31" s="4">
        <f>IF(基礎情報入力シート!D12+基礎情報入力シート!D17&lt;=10000000,MAX(基礎情報入力シート!D13-600000,0),IF(基礎情報入力シート!D12+基礎情報入力シート!D17&lt;=20000000,MAX(基礎情報入力シート!D13-500000,0),MAX(基礎情報入力シート!D13-400000,0)))</f>
        <v>0</v>
      </c>
      <c r="J31" s="8"/>
      <c r="K31" s="4">
        <v>0</v>
      </c>
      <c r="L31" s="4">
        <f>IF(基礎情報入力シート!E12+基礎情報入力シート!E17&lt;=10000000,MAX(基礎情報入力シート!E13-600000,0),IF(基礎情報入力シート!E12+基礎情報入力シート!E17&lt;=20000000,MAX(基礎情報入力シート!E13-500000,0),MAX(基礎情報入力シート!E13-400000,0)))</f>
        <v>0</v>
      </c>
      <c r="M31" s="4">
        <f>IF(基礎情報入力シート!E12+基礎情報入力シート!E17&lt;=10000000,MAX(基礎情報入力シート!E13-600000,0),IF(基礎情報入力シート!E12+基礎情報入力シート!E17&lt;=20000000,MAX(基礎情報入力シート!E13-500000,0),MAX(基礎情報入力シート!E13-400000,0)))</f>
        <v>0</v>
      </c>
      <c r="N31" s="8"/>
      <c r="O31" s="4">
        <v>0</v>
      </c>
      <c r="P31" s="4">
        <f>IF(基礎情報入力シート!F12+基礎情報入力シート!F17&lt;=10000000,MAX(基礎情報入力シート!F13-600000,0),IF(基礎情報入力シート!F12+基礎情報入力シート!F17&lt;=20000000,MAX(基礎情報入力シート!F13-500000,0),MAX(基礎情報入力シート!F13-400000,0)))</f>
        <v>0</v>
      </c>
      <c r="Q31" s="4">
        <f>IF(基礎情報入力シート!F12+基礎情報入力シート!F17&lt;=10000000,MAX(基礎情報入力シート!F13-600000,0),IF(基礎情報入力シート!F12+基礎情報入力シート!F17&lt;=20000000,MAX(基礎情報入力シート!F13-500000,0),MAX(基礎情報入力シート!F13-400000,0)))</f>
        <v>0</v>
      </c>
      <c r="R31" s="8"/>
      <c r="S31" s="4">
        <v>0</v>
      </c>
      <c r="T31" s="4">
        <f>IF(基礎情報入力シート!G12+基礎情報入力シート!G17&lt;=10000000,MAX(基礎情報入力シート!G13-600000,0),IF(基礎情報入力シート!G12+基礎情報入力シート!G17&lt;=20000000,MAX(基礎情報入力シート!G13-500000,0),MAX(基礎情報入力シート!G13-400000,0)))</f>
        <v>0</v>
      </c>
      <c r="U31" s="7">
        <f>IF(基礎情報入力シート!G12+基礎情報入力シート!G17&lt;=10000000,MAX(基礎情報入力シート!G13-600000,0),IF(基礎情報入力シート!G12+基礎情報入力シート!G17&lt;=20000000,MAX(基礎情報入力シート!G13-500000,0),MAX(基礎情報入力シート!G13-400000,0)))</f>
        <v>0</v>
      </c>
    </row>
    <row r="32" spans="1:21">
      <c r="C32" s="4">
        <v>700001</v>
      </c>
      <c r="D32" s="4">
        <f>D31</f>
        <v>0</v>
      </c>
      <c r="E32" s="4">
        <f>E31</f>
        <v>0</v>
      </c>
      <c r="F32" s="8"/>
      <c r="G32" s="4">
        <v>700001</v>
      </c>
      <c r="H32" s="4">
        <f>H31</f>
        <v>0</v>
      </c>
      <c r="I32" s="4">
        <f>I31</f>
        <v>0</v>
      </c>
      <c r="J32" s="8"/>
      <c r="K32" s="4">
        <v>700001</v>
      </c>
      <c r="L32" s="4">
        <f>L31</f>
        <v>0</v>
      </c>
      <c r="M32" s="4">
        <f>M31</f>
        <v>0</v>
      </c>
      <c r="N32" s="8"/>
      <c r="O32" s="4">
        <v>700001</v>
      </c>
      <c r="P32" s="4">
        <f>P31</f>
        <v>0</v>
      </c>
      <c r="Q32" s="4">
        <f>Q31</f>
        <v>0</v>
      </c>
      <c r="R32" s="8"/>
      <c r="S32" s="4">
        <v>700001</v>
      </c>
      <c r="T32" s="4">
        <f>T31</f>
        <v>0</v>
      </c>
      <c r="U32" s="7">
        <f>U31</f>
        <v>0</v>
      </c>
    </row>
    <row r="33" spans="1:21">
      <c r="C33" s="4">
        <v>1300000</v>
      </c>
      <c r="D33" s="4">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33" s="4">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F33" s="8"/>
      <c r="G33" s="4">
        <v>1300000</v>
      </c>
      <c r="H33" s="4">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33" s="4">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J33" s="8"/>
      <c r="K33" s="4">
        <v>1300000</v>
      </c>
      <c r="L33" s="4">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33" s="4">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N33" s="8"/>
      <c r="O33" s="4">
        <v>1300000</v>
      </c>
      <c r="P33" s="4">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33" s="4">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R33" s="8"/>
      <c r="S33" s="4">
        <v>1300000</v>
      </c>
      <c r="T33" s="4">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33" s="7">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row>
    <row r="34" spans="1:21">
      <c r="C34" s="4">
        <v>4100000</v>
      </c>
      <c r="D34" s="4">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34" s="4">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F34" s="8"/>
      <c r="G34" s="4">
        <v>4100000</v>
      </c>
      <c r="H34" s="4">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34" s="4">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J34" s="8"/>
      <c r="K34" s="4">
        <v>4100000</v>
      </c>
      <c r="L34" s="4">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34" s="4">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N34" s="8"/>
      <c r="O34" s="4">
        <v>4100000</v>
      </c>
      <c r="P34" s="4">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34" s="4">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R34" s="8"/>
      <c r="S34" s="4">
        <v>4100000</v>
      </c>
      <c r="T34" s="4">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34" s="7">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row>
    <row r="35" spans="1:21">
      <c r="C35" s="4">
        <v>7700000</v>
      </c>
      <c r="D35" s="4">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35" s="4">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F35" s="8"/>
      <c r="G35" s="4">
        <v>7700000</v>
      </c>
      <c r="H35" s="4">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35" s="4">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J35" s="8"/>
      <c r="K35" s="4">
        <v>7700000</v>
      </c>
      <c r="L35" s="4">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35" s="4">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N35" s="8"/>
      <c r="O35" s="4">
        <v>7700000</v>
      </c>
      <c r="P35" s="4">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35" s="4">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R35" s="8"/>
      <c r="S35" s="4">
        <v>7700000</v>
      </c>
      <c r="T35" s="4">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35" s="4">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row>
    <row r="36" spans="1:21">
      <c r="C36" s="4">
        <v>10000000</v>
      </c>
      <c r="D36" s="4">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36" s="4">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F36" s="8"/>
      <c r="G36" s="4">
        <v>10000000</v>
      </c>
      <c r="H36" s="4">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36" s="4">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J36" s="8"/>
      <c r="K36" s="4">
        <v>10000000</v>
      </c>
      <c r="L36" s="4">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36" s="4">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N36" s="8"/>
      <c r="O36" s="4">
        <v>10000000</v>
      </c>
      <c r="P36" s="4">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36" s="4">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R36" s="8"/>
      <c r="S36" s="4">
        <v>10000000</v>
      </c>
      <c r="T36" s="4">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36" s="4">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row>
    <row r="38" spans="1:21">
      <c r="A38" s="412" t="s">
        <v>147</v>
      </c>
      <c r="B38" s="418"/>
    </row>
    <row r="39" spans="1:21">
      <c r="C39" s="1" t="s">
        <v>138</v>
      </c>
      <c r="D39" s="1" t="s">
        <v>143</v>
      </c>
      <c r="E39" s="1" t="s">
        <v>144</v>
      </c>
      <c r="G39" s="1" t="s">
        <v>139</v>
      </c>
      <c r="H39" s="1" t="s">
        <v>143</v>
      </c>
      <c r="I39" s="1" t="s">
        <v>144</v>
      </c>
      <c r="K39" s="1" t="s">
        <v>149</v>
      </c>
      <c r="L39" s="1" t="s">
        <v>143</v>
      </c>
      <c r="M39" s="1" t="s">
        <v>144</v>
      </c>
      <c r="O39" s="1" t="s">
        <v>141</v>
      </c>
      <c r="P39" s="1" t="s">
        <v>143</v>
      </c>
      <c r="Q39" s="1" t="s">
        <v>144</v>
      </c>
      <c r="S39" s="1" t="s">
        <v>148</v>
      </c>
      <c r="T39" s="1" t="s">
        <v>143</v>
      </c>
      <c r="U39" s="1" t="s">
        <v>144</v>
      </c>
    </row>
    <row r="40" spans="1:21">
      <c r="C40" s="4">
        <v>0</v>
      </c>
      <c r="D40" s="4">
        <v>430000</v>
      </c>
      <c r="E40" s="4">
        <v>430000</v>
      </c>
      <c r="G40" s="4">
        <v>0</v>
      </c>
      <c r="H40" s="4">
        <v>430000</v>
      </c>
      <c r="I40" s="4">
        <v>430000</v>
      </c>
      <c r="K40" s="4">
        <v>0</v>
      </c>
      <c r="L40" s="4">
        <v>430000</v>
      </c>
      <c r="M40" s="4">
        <v>430000</v>
      </c>
      <c r="O40" s="4">
        <v>0</v>
      </c>
      <c r="P40" s="4">
        <v>430000</v>
      </c>
      <c r="Q40" s="4">
        <v>430000</v>
      </c>
      <c r="S40" s="4">
        <v>0</v>
      </c>
      <c r="T40" s="4">
        <v>430000</v>
      </c>
      <c r="U40" s="4">
        <v>430000</v>
      </c>
    </row>
    <row r="41" spans="1:21">
      <c r="C41" s="4">
        <v>24000001</v>
      </c>
      <c r="D41" s="4">
        <v>290000</v>
      </c>
      <c r="E41" s="4">
        <v>290000</v>
      </c>
      <c r="G41" s="4">
        <v>24000001</v>
      </c>
      <c r="H41" s="4">
        <v>290000</v>
      </c>
      <c r="I41" s="4">
        <v>290000</v>
      </c>
      <c r="K41" s="4">
        <v>24000001</v>
      </c>
      <c r="L41" s="4">
        <v>290000</v>
      </c>
      <c r="M41" s="4">
        <v>290000</v>
      </c>
      <c r="O41" s="4">
        <v>24000001</v>
      </c>
      <c r="P41" s="4">
        <v>290000</v>
      </c>
      <c r="Q41" s="4">
        <v>290000</v>
      </c>
      <c r="S41" s="4">
        <v>24000001</v>
      </c>
      <c r="T41" s="4">
        <v>290000</v>
      </c>
      <c r="U41" s="4">
        <v>290000</v>
      </c>
    </row>
    <row r="42" spans="1:21">
      <c r="C42" s="4">
        <v>24500001</v>
      </c>
      <c r="D42" s="4">
        <v>150000</v>
      </c>
      <c r="E42" s="4">
        <v>150000</v>
      </c>
      <c r="G42" s="4">
        <v>24500001</v>
      </c>
      <c r="H42" s="4">
        <v>150000</v>
      </c>
      <c r="I42" s="4">
        <v>150000</v>
      </c>
      <c r="K42" s="4">
        <v>24500001</v>
      </c>
      <c r="L42" s="4">
        <v>150000</v>
      </c>
      <c r="M42" s="4">
        <v>150000</v>
      </c>
      <c r="O42" s="4">
        <v>24500001</v>
      </c>
      <c r="P42" s="4">
        <v>150000</v>
      </c>
      <c r="Q42" s="4">
        <v>150000</v>
      </c>
      <c r="S42" s="4">
        <v>24500001</v>
      </c>
      <c r="T42" s="4">
        <v>150000</v>
      </c>
      <c r="U42" s="4">
        <v>150000</v>
      </c>
    </row>
    <row r="43" spans="1:21">
      <c r="C43" s="4">
        <v>25000001</v>
      </c>
      <c r="D43" s="4">
        <v>0</v>
      </c>
      <c r="E43" s="4">
        <v>0</v>
      </c>
      <c r="G43" s="4">
        <v>25000001</v>
      </c>
      <c r="H43" s="4">
        <v>0</v>
      </c>
      <c r="I43" s="4">
        <v>0</v>
      </c>
      <c r="K43" s="4">
        <v>25000001</v>
      </c>
      <c r="L43" s="4">
        <v>0</v>
      </c>
      <c r="M43" s="4">
        <v>0</v>
      </c>
      <c r="O43" s="4">
        <v>25000001</v>
      </c>
      <c r="P43" s="4">
        <v>0</v>
      </c>
      <c r="Q43" s="4">
        <v>0</v>
      </c>
      <c r="S43" s="4">
        <v>25000001</v>
      </c>
      <c r="T43" s="4">
        <v>0</v>
      </c>
      <c r="U43" s="4">
        <v>0</v>
      </c>
    </row>
    <row r="45" spans="1:21">
      <c r="A45" s="417" t="s">
        <v>76</v>
      </c>
      <c r="B45" s="248"/>
    </row>
    <row r="46" spans="1:21">
      <c r="C46" s="2" t="s">
        <v>77</v>
      </c>
      <c r="D46" s="2" t="s">
        <v>78</v>
      </c>
      <c r="E46" s="2" t="s">
        <v>79</v>
      </c>
      <c r="F46" s="2" t="s">
        <v>80</v>
      </c>
      <c r="G46" s="2" t="s">
        <v>81</v>
      </c>
      <c r="H46" s="2" t="s">
        <v>82</v>
      </c>
      <c r="I46" s="2" t="s">
        <v>83</v>
      </c>
      <c r="J46" s="2" t="s">
        <v>84</v>
      </c>
      <c r="K46" s="2" t="s">
        <v>85</v>
      </c>
      <c r="L46" s="2" t="s">
        <v>86</v>
      </c>
      <c r="M46" s="2" t="s">
        <v>87</v>
      </c>
      <c r="N46" s="2" t="s">
        <v>88</v>
      </c>
    </row>
    <row r="47" spans="1:21">
      <c r="B47" s="1" t="s">
        <v>134</v>
      </c>
      <c r="C47" s="3">
        <f>EDATE(DATEVALUE("R"&amp;基礎情報入力シート!$B$1&amp;".4.1"),1)</f>
        <v>46143</v>
      </c>
      <c r="D47" s="3">
        <f>EDATE(DATEVALUE("R"&amp;基礎情報入力シート!$B$1&amp;".4.1"),2)</f>
        <v>46174</v>
      </c>
      <c r="E47" s="3">
        <f>EDATE(DATEVALUE("R"&amp;基礎情報入力シート!$B$1&amp;".4.1"),3)</f>
        <v>46204</v>
      </c>
      <c r="F47" s="3">
        <f>EDATE(DATEVALUE("R"&amp;基礎情報入力シート!$B$1&amp;".4.1"),4)</f>
        <v>46235</v>
      </c>
      <c r="G47" s="3">
        <f>EDATE(DATEVALUE("R"&amp;基礎情報入力シート!$B$1&amp;".4.1"),5)</f>
        <v>46266</v>
      </c>
      <c r="H47" s="3">
        <f>EDATE(DATEVALUE("R"&amp;基礎情報入力シート!$B$1&amp;".4.1"),6)</f>
        <v>46296</v>
      </c>
      <c r="I47" s="3">
        <f>EDATE(DATEVALUE("R"&amp;基礎情報入力シート!$B$1&amp;".4.1"),7)</f>
        <v>46327</v>
      </c>
      <c r="J47" s="3">
        <f>EDATE(DATEVALUE("R"&amp;基礎情報入力シート!$B$1&amp;".4.1"),8)</f>
        <v>46357</v>
      </c>
      <c r="K47" s="3">
        <f>EDATE(DATEVALUE("R"&amp;基礎情報入力シート!$B$1&amp;".4.1"),9)</f>
        <v>46388</v>
      </c>
      <c r="L47" s="3">
        <f>EDATE(DATEVALUE("R"&amp;基礎情報入力シート!$B$1&amp;".4.1"),10)</f>
        <v>46419</v>
      </c>
      <c r="M47" s="3">
        <f>EDATE(DATEVALUE("R"&amp;基礎情報入力シート!$B$1&amp;".4.1"),11)</f>
        <v>46447</v>
      </c>
      <c r="N47" s="3">
        <f>EDATE(DATEVALUE("R"&amp;基礎情報入力シート!$B$1&amp;".4.1"),12)</f>
        <v>46478</v>
      </c>
    </row>
    <row r="48" spans="1:21">
      <c r="B48" s="1" t="s">
        <v>185</v>
      </c>
      <c r="C48" s="3">
        <f>EDATE(DATEVALUE("R"&amp;基礎情報入力シート!$B$1&amp;".4.1"),-216)</f>
        <v>39539</v>
      </c>
      <c r="D48" s="3">
        <f>EDATE(DATEVALUE("R"&amp;基礎情報入力シート!$B$1&amp;".4.1"),-216)</f>
        <v>39539</v>
      </c>
      <c r="E48" s="3">
        <f>EDATE(DATEVALUE("R"&amp;基礎情報入力シート!$B$1&amp;".4.1"),-216)</f>
        <v>39539</v>
      </c>
      <c r="F48" s="3">
        <f>EDATE(DATEVALUE("R"&amp;基礎情報入力シート!$B$1&amp;".4.1"),-216)</f>
        <v>39539</v>
      </c>
      <c r="G48" s="3">
        <f>EDATE(DATEVALUE("R"&amp;基礎情報入力シート!$B$1&amp;".4.1"),-216)</f>
        <v>39539</v>
      </c>
      <c r="H48" s="3">
        <f>EDATE(DATEVALUE("R"&amp;基礎情報入力シート!$B$1&amp;".4.1"),-216)</f>
        <v>39539</v>
      </c>
      <c r="I48" s="3">
        <f>EDATE(DATEVALUE("R"&amp;基礎情報入力シート!$B$1&amp;".4.1"),-216)</f>
        <v>39539</v>
      </c>
      <c r="J48" s="3">
        <f>EDATE(DATEVALUE("R"&amp;基礎情報入力シート!$B$1&amp;".4.1"),-216)</f>
        <v>39539</v>
      </c>
      <c r="K48" s="3">
        <f>EDATE(DATEVALUE("R"&amp;基礎情報入力シート!$B$1&amp;".4.1"),-216)</f>
        <v>39539</v>
      </c>
      <c r="L48" s="3">
        <f>EDATE(DATEVALUE("R"&amp;基礎情報入力シート!$B$1&amp;".4.1"),-216)</f>
        <v>39539</v>
      </c>
      <c r="M48" s="3">
        <f>EDATE(DATEVALUE("R"&amp;基礎情報入力シート!$B$1&amp;".4.1"),-216)</f>
        <v>39539</v>
      </c>
      <c r="N48" s="3">
        <f>EDATE(DATEVALUE("R"&amp;基礎情報入力シート!$B$1&amp;".4.1"),-216)</f>
        <v>39539</v>
      </c>
      <c r="O48" s="419" t="s">
        <v>191</v>
      </c>
      <c r="P48" s="419"/>
      <c r="Q48" s="419"/>
    </row>
    <row r="49" spans="1:14">
      <c r="B49" s="1" t="s">
        <v>92</v>
      </c>
      <c r="C49" s="3">
        <f>EDATE(DATEVALUE("R"&amp;基礎情報入力シート!$B$1&amp;".4.1"),-479)+1</f>
        <v>31534</v>
      </c>
      <c r="D49" s="3">
        <f>EDATE(DATEVALUE("R"&amp;基礎情報入力シート!$B$1&amp;".4.1"),-478)+1</f>
        <v>31565</v>
      </c>
      <c r="E49" s="3">
        <f>EDATE(DATEVALUE("R"&amp;基礎情報入力シート!$B$1&amp;".4.1"),-477)</f>
        <v>31594</v>
      </c>
      <c r="F49" s="3">
        <f>EDATE(DATEVALUE("R"&amp;基礎情報入力シート!$B$1&amp;".4.1"),-476)</f>
        <v>31625</v>
      </c>
      <c r="G49" s="3">
        <f>EDATE(DATEVALUE("R"&amp;基礎情報入力シート!$B$1&amp;".4.1"),-475)</f>
        <v>31656</v>
      </c>
      <c r="H49" s="3">
        <f>EDATE(DATEVALUE("R"&amp;基礎情報入力シート!$B$1&amp;".4.1"),-474)</f>
        <v>31686</v>
      </c>
      <c r="I49" s="3">
        <f>EDATE(DATEVALUE("R"&amp;基礎情報入力シート!$B$1&amp;".4.1"),-473)</f>
        <v>31717</v>
      </c>
      <c r="J49" s="3">
        <f>EDATE(DATEVALUE("R"&amp;基礎情報入力シート!$B$1&amp;".4.1"),-472)</f>
        <v>31747</v>
      </c>
      <c r="K49" s="3">
        <f>EDATE(DATEVALUE("R"&amp;基礎情報入力シート!$B$1&amp;".4.1"),-471)</f>
        <v>31778</v>
      </c>
      <c r="L49" s="3">
        <f>EDATE(DATEVALUE("R"&amp;基礎情報入力シート!$B$1&amp;".4.1"),-470)</f>
        <v>31809</v>
      </c>
      <c r="M49" s="3">
        <f>EDATE(DATEVALUE("R"&amp;基礎情報入力シート!$B$1&amp;".4.1"),-469)</f>
        <v>31837</v>
      </c>
      <c r="N49" s="3">
        <f>EDATE(DATEVALUE("R"&amp;基礎情報入力シート!$B$1&amp;".4.1"),-468)</f>
        <v>31868</v>
      </c>
    </row>
    <row r="50" spans="1:14">
      <c r="B50" s="1" t="s">
        <v>93</v>
      </c>
      <c r="C50" s="3">
        <f>EDATE(DATEVALUE("R"&amp;基礎情報入力シート!$B$1&amp;".4.1"),-779)</f>
        <v>22402</v>
      </c>
      <c r="D50" s="3">
        <f>EDATE(DATEVALUE("R"&amp;基礎情報入力シート!$B$1&amp;".4.1"),-778)</f>
        <v>22433</v>
      </c>
      <c r="E50" s="3">
        <f>EDATE(DATEVALUE("R"&amp;基礎情報入力シート!$B$1&amp;".4.1"),-777)</f>
        <v>22463</v>
      </c>
      <c r="F50" s="3">
        <f>EDATE(DATEVALUE("R"&amp;基礎情報入力シート!$B$1&amp;".4.1"),-776)</f>
        <v>22494</v>
      </c>
      <c r="G50" s="3">
        <f>EDATE(DATEVALUE("R"&amp;基礎情報入力シート!$B$1&amp;".4.1"),-775)</f>
        <v>22525</v>
      </c>
      <c r="H50" s="3">
        <f>EDATE(DATEVALUE("R"&amp;基礎情報入力シート!$B$1&amp;".4.1"),-774)</f>
        <v>22555</v>
      </c>
      <c r="I50" s="3">
        <f>EDATE(DATEVALUE("R"&amp;基礎情報入力シート!$B$1&amp;".4.1"),-773)</f>
        <v>22586</v>
      </c>
      <c r="J50" s="3">
        <f>EDATE(DATEVALUE("R"&amp;基礎情報入力シート!$B$1&amp;".4.1"),-772)</f>
        <v>22616</v>
      </c>
      <c r="K50" s="3">
        <f>EDATE(DATEVALUE("R"&amp;基礎情報入力シート!$B$1&amp;".4.1"),-771)</f>
        <v>22647</v>
      </c>
      <c r="L50" s="3">
        <f>EDATE(DATEVALUE("R"&amp;基礎情報入力シート!$B$1&amp;".4.1"),-770)</f>
        <v>22678</v>
      </c>
      <c r="M50" s="3">
        <f>EDATE(DATEVALUE("R"&amp;基礎情報入力シート!$B$1&amp;".4.1"),-769)</f>
        <v>22706</v>
      </c>
      <c r="N50" s="3">
        <f>EDATE(DATEVALUE("R"&amp;基礎情報入力シート!$B$1&amp;".4.1"),-768)</f>
        <v>22737</v>
      </c>
    </row>
    <row r="51" spans="1:14">
      <c r="B51" s="1" t="s">
        <v>89</v>
      </c>
      <c r="C51" s="3">
        <f>EDATE(DATEVALUE("R"&amp;基礎情報入力シート!$B$1&amp;".4.1"),-899)-1</f>
        <v>18748</v>
      </c>
      <c r="D51" s="3">
        <f>EDATE(DATEVALUE("R"&amp;基礎情報入力シート!$B$1&amp;".4.1"),-898)-1</f>
        <v>18779</v>
      </c>
      <c r="E51" s="3">
        <f>EDATE(DATEVALUE("R"&amp;基礎情報入力シート!$B$1&amp;".4.1"),-897)-1</f>
        <v>18809</v>
      </c>
      <c r="F51" s="3">
        <f>EDATE(DATEVALUE("R"&amp;基礎情報入力シート!$B$1&amp;".4.1"),-896)-1</f>
        <v>18840</v>
      </c>
      <c r="G51" s="3">
        <f>EDATE(DATEVALUE("R"&amp;基礎情報入力シート!$B$1&amp;".4.1"),-895)-1</f>
        <v>18871</v>
      </c>
      <c r="H51" s="3">
        <f>EDATE(DATEVALUE("R"&amp;基礎情報入力シート!$B$1&amp;".4.1"),-894)-1</f>
        <v>18901</v>
      </c>
      <c r="I51" s="3">
        <f>EDATE(DATEVALUE("R"&amp;基礎情報入力シート!$B$1&amp;".4.1"),-893)-1</f>
        <v>18932</v>
      </c>
      <c r="J51" s="3">
        <f>EDATE(DATEVALUE("R"&amp;基礎情報入力シート!$B$1&amp;".4.1"),-892)-1</f>
        <v>18962</v>
      </c>
      <c r="K51" s="3">
        <f>EDATE(DATEVALUE("R"&amp;基礎情報入力シート!$B$1&amp;".4.1"),-891)-1</f>
        <v>18993</v>
      </c>
      <c r="L51" s="3">
        <f>EDATE(DATEVALUE("R"&amp;基礎情報入力シート!$B$1&amp;".4.1"),-890)-1</f>
        <v>19024</v>
      </c>
      <c r="M51" s="3">
        <f>EDATE(DATEVALUE("R"&amp;基礎情報入力シート!$B$1&amp;".4.1"),-889)-1</f>
        <v>19053</v>
      </c>
      <c r="N51" s="3">
        <f>EDATE(DATEVALUE("R"&amp;基礎情報入力シート!$B$1&amp;".4.1"),-888)-1</f>
        <v>19084</v>
      </c>
    </row>
    <row r="52" spans="1:14">
      <c r="B52"/>
    </row>
    <row r="54" spans="1:14">
      <c r="A54" s="55" t="s">
        <v>29</v>
      </c>
    </row>
    <row r="55" spans="1:14">
      <c r="A55" s="55" t="s">
        <v>30</v>
      </c>
      <c r="B55" s="198" t="s">
        <v>32</v>
      </c>
      <c r="C55" s="198">
        <v>4</v>
      </c>
      <c r="D55" s="198">
        <v>5</v>
      </c>
      <c r="E55" s="198">
        <v>6</v>
      </c>
      <c r="F55" s="199">
        <v>7</v>
      </c>
      <c r="G55" s="199">
        <v>8</v>
      </c>
    </row>
    <row r="56" spans="1:14">
      <c r="A56" s="55" t="s">
        <v>31</v>
      </c>
      <c r="B56" s="198" t="s">
        <v>21</v>
      </c>
      <c r="C56" s="198">
        <v>5.59</v>
      </c>
      <c r="D56" s="198">
        <v>5.59</v>
      </c>
      <c r="E56" s="198">
        <v>5.81</v>
      </c>
      <c r="F56" s="199">
        <v>6.16</v>
      </c>
      <c r="G56" s="199">
        <v>6.28</v>
      </c>
    </row>
    <row r="57" spans="1:14">
      <c r="A57" s="55" t="s">
        <v>107</v>
      </c>
      <c r="B57" s="198" t="s">
        <v>181</v>
      </c>
      <c r="C57" s="198">
        <v>1.82</v>
      </c>
      <c r="D57" s="198">
        <v>1.82</v>
      </c>
      <c r="E57" s="198">
        <v>1.89</v>
      </c>
      <c r="F57" s="199">
        <v>2</v>
      </c>
      <c r="G57" s="199">
        <v>2.04</v>
      </c>
    </row>
    <row r="58" spans="1:14">
      <c r="A58" s="55" t="s">
        <v>119</v>
      </c>
      <c r="B58" s="198" t="s">
        <v>22</v>
      </c>
      <c r="C58" s="198">
        <v>1.62</v>
      </c>
      <c r="D58" s="198">
        <v>1.62</v>
      </c>
      <c r="E58" s="198">
        <v>1.68</v>
      </c>
      <c r="F58" s="199">
        <v>1.78</v>
      </c>
      <c r="G58" s="199">
        <v>1.82</v>
      </c>
    </row>
    <row r="59" spans="1:14">
      <c r="A59" s="55"/>
      <c r="B59" s="198" t="s">
        <v>183</v>
      </c>
      <c r="C59" s="198">
        <v>0</v>
      </c>
      <c r="D59" s="198">
        <v>0</v>
      </c>
      <c r="E59" s="198">
        <v>0</v>
      </c>
      <c r="F59" s="199">
        <v>0</v>
      </c>
      <c r="G59" s="199">
        <v>0.3</v>
      </c>
    </row>
    <row r="60" spans="1:14">
      <c r="B60" s="198" t="s">
        <v>23</v>
      </c>
      <c r="C60" s="4">
        <v>28200</v>
      </c>
      <c r="D60" s="4">
        <v>28200</v>
      </c>
      <c r="E60" s="4">
        <v>29300</v>
      </c>
      <c r="F60" s="200">
        <v>30200</v>
      </c>
      <c r="G60" s="200">
        <v>30800</v>
      </c>
    </row>
    <row r="61" spans="1:14">
      <c r="B61" s="198" t="s">
        <v>182</v>
      </c>
      <c r="C61" s="4">
        <v>11600</v>
      </c>
      <c r="D61" s="4">
        <v>11600</v>
      </c>
      <c r="E61" s="4">
        <v>12000</v>
      </c>
      <c r="F61" s="200">
        <v>12400</v>
      </c>
      <c r="G61" s="200">
        <v>12600</v>
      </c>
    </row>
    <row r="62" spans="1:14">
      <c r="B62" s="198" t="s">
        <v>24</v>
      </c>
      <c r="C62" s="4">
        <v>11800</v>
      </c>
      <c r="D62" s="4">
        <v>11800</v>
      </c>
      <c r="E62" s="4">
        <v>12200</v>
      </c>
      <c r="F62" s="200">
        <v>12600</v>
      </c>
      <c r="G62" s="200">
        <v>12900</v>
      </c>
    </row>
    <row r="63" spans="1:14">
      <c r="B63" s="198" t="s">
        <v>184</v>
      </c>
      <c r="C63" s="4">
        <v>0</v>
      </c>
      <c r="D63" s="4">
        <v>0</v>
      </c>
      <c r="E63" s="4">
        <v>0</v>
      </c>
      <c r="F63" s="200">
        <v>0</v>
      </c>
      <c r="G63" s="200">
        <v>1900</v>
      </c>
    </row>
    <row r="64" spans="1:14">
      <c r="B64" s="198" t="s">
        <v>151</v>
      </c>
      <c r="C64" s="4">
        <v>430000</v>
      </c>
      <c r="D64" s="4">
        <v>430000</v>
      </c>
      <c r="E64" s="4">
        <v>430000</v>
      </c>
      <c r="F64" s="200">
        <v>430000</v>
      </c>
      <c r="G64" s="200">
        <v>430000</v>
      </c>
    </row>
    <row r="65" spans="1:7">
      <c r="B65" s="198" t="s">
        <v>152</v>
      </c>
      <c r="C65" s="4">
        <v>100000</v>
      </c>
      <c r="D65" s="4">
        <v>100000</v>
      </c>
      <c r="E65" s="4">
        <v>100000</v>
      </c>
      <c r="F65" s="200">
        <v>100000</v>
      </c>
      <c r="G65" s="200">
        <v>100000</v>
      </c>
    </row>
    <row r="66" spans="1:7">
      <c r="B66" s="198" t="s">
        <v>25</v>
      </c>
      <c r="C66" s="4">
        <v>285000</v>
      </c>
      <c r="D66" s="4">
        <v>290000</v>
      </c>
      <c r="E66" s="4">
        <v>295000</v>
      </c>
      <c r="F66" s="200">
        <v>305000</v>
      </c>
      <c r="G66" s="200">
        <v>310000</v>
      </c>
    </row>
    <row r="67" spans="1:7">
      <c r="B67" s="198" t="s">
        <v>26</v>
      </c>
      <c r="C67" s="4">
        <v>520000</v>
      </c>
      <c r="D67" s="4">
        <v>535000</v>
      </c>
      <c r="E67" s="4">
        <v>545000</v>
      </c>
      <c r="F67" s="200">
        <v>560000</v>
      </c>
      <c r="G67" s="200">
        <v>570000</v>
      </c>
    </row>
    <row r="68" spans="1:7">
      <c r="B68" s="198" t="s">
        <v>27</v>
      </c>
      <c r="C68" s="4">
        <v>650000</v>
      </c>
      <c r="D68" s="4">
        <v>650000</v>
      </c>
      <c r="E68" s="4">
        <v>650000</v>
      </c>
      <c r="F68" s="200">
        <v>660000</v>
      </c>
      <c r="G68" s="200">
        <v>670000</v>
      </c>
    </row>
    <row r="69" spans="1:7">
      <c r="B69" s="198" t="s">
        <v>122</v>
      </c>
      <c r="C69" s="4">
        <v>200000</v>
      </c>
      <c r="D69" s="4">
        <v>220000</v>
      </c>
      <c r="E69" s="4">
        <v>240000</v>
      </c>
      <c r="F69" s="200">
        <v>260000</v>
      </c>
      <c r="G69" s="200">
        <v>260000</v>
      </c>
    </row>
    <row r="70" spans="1:7">
      <c r="B70" s="198" t="s">
        <v>28</v>
      </c>
      <c r="C70" s="4">
        <v>170000</v>
      </c>
      <c r="D70" s="4">
        <v>170000</v>
      </c>
      <c r="E70" s="4">
        <v>170000</v>
      </c>
      <c r="F70" s="200">
        <v>170000</v>
      </c>
      <c r="G70" s="200">
        <v>170000</v>
      </c>
    </row>
    <row r="71" spans="1:7">
      <c r="B71" s="198" t="s">
        <v>186</v>
      </c>
      <c r="C71" s="4">
        <v>0</v>
      </c>
      <c r="D71" s="4">
        <v>0</v>
      </c>
      <c r="E71" s="4">
        <v>0</v>
      </c>
      <c r="F71" s="200">
        <v>0</v>
      </c>
      <c r="G71" s="200">
        <v>30000</v>
      </c>
    </row>
    <row r="72" spans="1:7">
      <c r="B72" s="198" t="s">
        <v>193</v>
      </c>
      <c r="C72" s="198">
        <v>0.5</v>
      </c>
      <c r="D72" s="198">
        <v>0.5</v>
      </c>
      <c r="E72" s="198">
        <v>0.5</v>
      </c>
      <c r="F72" s="199">
        <v>0.5</v>
      </c>
      <c r="G72" s="199">
        <v>1</v>
      </c>
    </row>
    <row r="73" spans="1:7">
      <c r="B73" s="198" t="s">
        <v>194</v>
      </c>
      <c r="C73" s="198">
        <v>0</v>
      </c>
      <c r="D73" s="198">
        <v>0</v>
      </c>
      <c r="E73" s="198">
        <v>0</v>
      </c>
      <c r="F73" s="199">
        <v>0</v>
      </c>
      <c r="G73" s="199">
        <v>1</v>
      </c>
    </row>
    <row r="74" spans="1:7">
      <c r="B74" s="198" t="s">
        <v>150</v>
      </c>
      <c r="C74" s="4">
        <v>1</v>
      </c>
      <c r="D74" s="4">
        <v>1</v>
      </c>
      <c r="E74" s="4">
        <v>1</v>
      </c>
      <c r="F74" s="200">
        <v>1</v>
      </c>
      <c r="G74" s="200">
        <v>2</v>
      </c>
    </row>
    <row r="76" spans="1:7">
      <c r="A76" s="418" t="s">
        <v>54</v>
      </c>
      <c r="B76" s="413"/>
      <c r="C76"/>
      <c r="D76" s="13"/>
    </row>
    <row r="77" spans="1:7">
      <c r="B77">
        <v>11</v>
      </c>
      <c r="C77" t="s">
        <v>37</v>
      </c>
      <c r="D77" s="415" t="s">
        <v>39</v>
      </c>
      <c r="E77" s="416"/>
      <c r="F77" s="416"/>
      <c r="G77" s="416"/>
    </row>
    <row r="78" spans="1:7">
      <c r="B78">
        <v>12</v>
      </c>
      <c r="C78" t="s">
        <v>38</v>
      </c>
      <c r="D78" s="415" t="s">
        <v>40</v>
      </c>
      <c r="E78" s="416"/>
      <c r="F78" s="416"/>
      <c r="G78" s="416"/>
    </row>
    <row r="79" spans="1:7">
      <c r="B79">
        <v>21</v>
      </c>
      <c r="C79" t="s">
        <v>37</v>
      </c>
      <c r="D79" s="415" t="s">
        <v>42</v>
      </c>
      <c r="E79" s="416"/>
      <c r="F79" s="416"/>
      <c r="G79" s="416"/>
    </row>
    <row r="80" spans="1:7">
      <c r="B80">
        <v>22</v>
      </c>
      <c r="C80" t="s">
        <v>37</v>
      </c>
      <c r="D80" s="415" t="s">
        <v>43</v>
      </c>
      <c r="E80" s="416"/>
      <c r="F80" s="416"/>
      <c r="G80" s="416"/>
    </row>
    <row r="81" spans="1:10">
      <c r="B81">
        <v>23</v>
      </c>
      <c r="C81" t="s">
        <v>37</v>
      </c>
      <c r="D81" s="415" t="s">
        <v>44</v>
      </c>
      <c r="E81" s="416"/>
      <c r="F81" s="416"/>
      <c r="G81" s="416"/>
    </row>
    <row r="82" spans="1:10">
      <c r="B82">
        <v>31</v>
      </c>
      <c r="C82" t="s">
        <v>37</v>
      </c>
      <c r="D82" s="415" t="s">
        <v>47</v>
      </c>
      <c r="E82" s="416"/>
      <c r="F82" s="416"/>
      <c r="G82" s="416"/>
    </row>
    <row r="83" spans="1:10">
      <c r="B83">
        <v>32</v>
      </c>
      <c r="C83" t="s">
        <v>37</v>
      </c>
      <c r="D83" s="415" t="s">
        <v>48</v>
      </c>
      <c r="E83" s="416"/>
      <c r="F83" s="416"/>
      <c r="G83" s="416"/>
    </row>
    <row r="84" spans="1:10">
      <c r="B84">
        <v>33</v>
      </c>
      <c r="C84" t="s">
        <v>37</v>
      </c>
      <c r="D84" s="415" t="s">
        <v>49</v>
      </c>
      <c r="E84" s="416"/>
      <c r="F84" s="416"/>
      <c r="G84" s="416"/>
    </row>
    <row r="85" spans="1:10">
      <c r="B85">
        <v>34</v>
      </c>
      <c r="C85" t="s">
        <v>37</v>
      </c>
      <c r="D85" s="415" t="s">
        <v>50</v>
      </c>
      <c r="E85" s="416"/>
      <c r="F85" s="416"/>
      <c r="G85" s="416"/>
    </row>
    <row r="86" spans="1:10">
      <c r="B86">
        <v>20</v>
      </c>
      <c r="C86"/>
      <c r="D86" s="415" t="s">
        <v>41</v>
      </c>
      <c r="E86" s="416"/>
      <c r="F86" s="416"/>
      <c r="G86" s="416"/>
    </row>
    <row r="87" spans="1:10">
      <c r="B87">
        <v>24</v>
      </c>
      <c r="C87"/>
      <c r="D87" s="415" t="s">
        <v>45</v>
      </c>
      <c r="E87" s="416"/>
      <c r="F87" s="416"/>
      <c r="G87" s="416"/>
    </row>
    <row r="88" spans="1:10">
      <c r="B88">
        <v>25</v>
      </c>
      <c r="C88"/>
      <c r="D88" s="415" t="s">
        <v>46</v>
      </c>
      <c r="E88" s="416"/>
      <c r="F88" s="416"/>
      <c r="G88" s="416"/>
    </row>
    <row r="89" spans="1:10">
      <c r="B89">
        <v>40</v>
      </c>
      <c r="C89"/>
      <c r="D89" s="415" t="s">
        <v>51</v>
      </c>
      <c r="E89" s="416"/>
      <c r="F89" s="416"/>
      <c r="G89" s="416"/>
    </row>
    <row r="90" spans="1:10">
      <c r="B90">
        <v>45</v>
      </c>
      <c r="C90"/>
      <c r="D90" s="415" t="s">
        <v>52</v>
      </c>
      <c r="E90" s="416"/>
      <c r="F90" s="416"/>
      <c r="G90" s="416"/>
    </row>
    <row r="91" spans="1:10">
      <c r="B91">
        <v>50</v>
      </c>
      <c r="C91"/>
      <c r="D91" s="415" t="s">
        <v>53</v>
      </c>
      <c r="E91" s="416"/>
      <c r="F91" s="416"/>
      <c r="G91" s="416"/>
    </row>
    <row r="93" spans="1:10">
      <c r="A93" s="412" t="s">
        <v>101</v>
      </c>
      <c r="B93" s="413"/>
    </row>
    <row r="94" spans="1:10">
      <c r="A94" s="42">
        <f>基礎情報入力シート!B1</f>
        <v>8</v>
      </c>
      <c r="B94" s="1" t="s">
        <v>102</v>
      </c>
      <c r="C94" s="1">
        <f>IF(作業・変換!J108&gt;5,16-作業・変換!J108,4-作業・変換!J108)</f>
        <v>10</v>
      </c>
      <c r="D94" s="1" t="s">
        <v>103</v>
      </c>
      <c r="E94" s="43">
        <f>税額試算書!S12</f>
        <v>0</v>
      </c>
      <c r="F94" s="1" t="s">
        <v>104</v>
      </c>
      <c r="G94" s="1">
        <v>3</v>
      </c>
      <c r="H94" s="1" t="s">
        <v>105</v>
      </c>
      <c r="I94" s="1" t="s">
        <v>108</v>
      </c>
      <c r="J94" s="1" t="s">
        <v>109</v>
      </c>
    </row>
    <row r="95" spans="1:10">
      <c r="A95" s="47">
        <f>IF(C94&lt;G94+1,G94+1-C94,G94+13-C94)</f>
        <v>6</v>
      </c>
      <c r="B95" s="48">
        <f>VLOOKUP(A95,G$95:J$106,4)</f>
        <v>46203</v>
      </c>
      <c r="C95" s="46">
        <v>1</v>
      </c>
      <c r="D95" s="49">
        <f>E94-SUM(D96:D106)</f>
        <v>0</v>
      </c>
      <c r="F95" s="1" t="s">
        <v>106</v>
      </c>
      <c r="G95" s="1">
        <v>1</v>
      </c>
      <c r="H95" s="44">
        <v>31</v>
      </c>
      <c r="I95" s="45" t="str">
        <f>IF($A$94&gt;1900,DATEVALUE($A$94+1&amp;"/"&amp;G95&amp;"/"&amp;H95),"令和"&amp;$A$94+1&amp;"年"&amp;G95&amp;"月"&amp;H95&amp;"日")</f>
        <v>令和9年1月31日</v>
      </c>
      <c r="J95" s="45">
        <f>IF(WEEKDAY(I95)=1,I95+1,IF(WEEKDAY(I95)=7,I95+2,I95+0))</f>
        <v>46419</v>
      </c>
    </row>
    <row r="96" spans="1:10">
      <c r="A96" s="47" t="str">
        <f>IF(D96&gt;0,IF(A95&gt;11,A95-11,A95+1),"")</f>
        <v/>
      </c>
      <c r="B96" s="48" t="str">
        <f>IF(D96&gt;0,VLOOKUP(A96,G$95:J$106,4),"")</f>
        <v/>
      </c>
      <c r="C96" s="46">
        <v>2</v>
      </c>
      <c r="D96" s="50">
        <f>IF(C$94&lt;C96,0,ROUNDDOWN((E$94-SUM(D97:D$106))/C96,-3))</f>
        <v>0</v>
      </c>
      <c r="G96" s="1">
        <v>2</v>
      </c>
      <c r="H96" s="44">
        <f>IF($A$94&gt;1900,IF(MOD($A$94+1,4)=0,29,28),IF(MOD($A$94+1,4)=2,29,28))</f>
        <v>28</v>
      </c>
      <c r="I96" s="45" t="str">
        <f t="shared" ref="I96:I97" si="0">IF($A$94&gt;1900,DATEVALUE($A$94+1&amp;"/"&amp;G96&amp;"/"&amp;H96),"令和"&amp;$A$94+1&amp;"年"&amp;G96&amp;"月"&amp;H96&amp;"日")</f>
        <v>令和9年2月28日</v>
      </c>
      <c r="J96" s="45">
        <f t="shared" ref="J96:J106" si="1">IF(WEEKDAY(I96)=1,I96+1,IF(WEEKDAY(I96)=7,I96+2,I96+0))</f>
        <v>46447</v>
      </c>
    </row>
    <row r="97" spans="1:14">
      <c r="A97" s="47" t="str">
        <f t="shared" ref="A97:A106" si="2">IF(D97&gt;0,IF(A96&gt;11,A96-11,A96+1),"")</f>
        <v/>
      </c>
      <c r="B97" s="48" t="str">
        <f t="shared" ref="B97:B106" si="3">IF(D97&gt;0,VLOOKUP(A97,G$95:J$106,4),"")</f>
        <v/>
      </c>
      <c r="C97" s="46">
        <v>3</v>
      </c>
      <c r="D97" s="50">
        <f>IF(C$94&lt;C97,0,ROUNDDOWN((E$94-SUM(D98:D$106))/C97,-3))</f>
        <v>0</v>
      </c>
      <c r="G97" s="161">
        <v>3</v>
      </c>
      <c r="H97" s="162">
        <v>29</v>
      </c>
      <c r="I97" s="163" t="str">
        <f t="shared" si="0"/>
        <v>令和9年3月29日</v>
      </c>
      <c r="J97" s="163">
        <f t="shared" si="1"/>
        <v>46475</v>
      </c>
    </row>
    <row r="98" spans="1:14">
      <c r="A98" s="47" t="str">
        <f t="shared" si="2"/>
        <v/>
      </c>
      <c r="B98" s="48" t="str">
        <f t="shared" si="3"/>
        <v/>
      </c>
      <c r="C98" s="46">
        <v>4</v>
      </c>
      <c r="D98" s="50">
        <f>IF(C$94&lt;C98,0,ROUNDDOWN((E$94-SUM(D99:D$106))/C98,-3))</f>
        <v>0</v>
      </c>
      <c r="G98" s="1">
        <v>4</v>
      </c>
      <c r="H98" s="44">
        <v>30</v>
      </c>
      <c r="I98" s="45" t="str">
        <f>IF($A$94&gt;1900,DATEVALUE($A$94&amp;"/"&amp;G98&amp;"/"&amp;H98),"令和"&amp;$A$94&amp;"年"&amp;G98&amp;"月"&amp;H98&amp;"日")</f>
        <v>令和8年4月30日</v>
      </c>
      <c r="J98" s="45">
        <f t="shared" si="1"/>
        <v>46142</v>
      </c>
    </row>
    <row r="99" spans="1:14">
      <c r="A99" s="47" t="str">
        <f t="shared" si="2"/>
        <v/>
      </c>
      <c r="B99" s="48" t="str">
        <f t="shared" si="3"/>
        <v/>
      </c>
      <c r="C99" s="46">
        <v>5</v>
      </c>
      <c r="D99" s="50">
        <f>IF(C$94&lt;C99,0,ROUNDDOWN((E$94-SUM(D100:D$106))/C99,-3))</f>
        <v>0</v>
      </c>
      <c r="G99" s="1">
        <v>5</v>
      </c>
      <c r="H99" s="44">
        <v>31</v>
      </c>
      <c r="I99" s="45" t="str">
        <f t="shared" ref="I99:I106" si="4">IF($A$94&gt;1900,DATEVALUE($A$94&amp;"/"&amp;G99&amp;"/"&amp;H99),"令和"&amp;$A$94&amp;"年"&amp;G99&amp;"月"&amp;H99&amp;"日")</f>
        <v>令和8年5月31日</v>
      </c>
      <c r="J99" s="45">
        <f t="shared" si="1"/>
        <v>46174</v>
      </c>
    </row>
    <row r="100" spans="1:14">
      <c r="A100" s="47" t="str">
        <f t="shared" si="2"/>
        <v/>
      </c>
      <c r="B100" s="48" t="str">
        <f t="shared" si="3"/>
        <v/>
      </c>
      <c r="C100" s="46">
        <v>6</v>
      </c>
      <c r="D100" s="50">
        <f>IF(C$94&lt;C100,0,ROUNDDOWN((E$94-SUM(D101:D$106))/C100,-3))</f>
        <v>0</v>
      </c>
      <c r="G100" s="1">
        <v>6</v>
      </c>
      <c r="H100" s="44">
        <v>30</v>
      </c>
      <c r="I100" s="45" t="str">
        <f t="shared" si="4"/>
        <v>令和8年6月30日</v>
      </c>
      <c r="J100" s="45">
        <f t="shared" si="1"/>
        <v>46203</v>
      </c>
    </row>
    <row r="101" spans="1:14">
      <c r="A101" s="47" t="str">
        <f t="shared" si="2"/>
        <v/>
      </c>
      <c r="B101" s="48" t="str">
        <f t="shared" si="3"/>
        <v/>
      </c>
      <c r="C101" s="46">
        <v>7</v>
      </c>
      <c r="D101" s="50">
        <f>IF(C$94&lt;C101,0,ROUNDDOWN((E$94-SUM(D102:D$106))/C101,-3))</f>
        <v>0</v>
      </c>
      <c r="G101" s="1">
        <v>7</v>
      </c>
      <c r="H101" s="44">
        <v>31</v>
      </c>
      <c r="I101" s="45" t="str">
        <f t="shared" si="4"/>
        <v>令和8年7月31日</v>
      </c>
      <c r="J101" s="45">
        <f t="shared" si="1"/>
        <v>46234</v>
      </c>
    </row>
    <row r="102" spans="1:14">
      <c r="A102" s="47" t="str">
        <f t="shared" si="2"/>
        <v/>
      </c>
      <c r="B102" s="48" t="str">
        <f t="shared" si="3"/>
        <v/>
      </c>
      <c r="C102" s="46">
        <v>8</v>
      </c>
      <c r="D102" s="50">
        <f>IF(C$94&lt;C102,0,ROUNDDOWN((E$94-SUM(D103:D$106))/C102,-3))</f>
        <v>0</v>
      </c>
      <c r="G102" s="1">
        <v>8</v>
      </c>
      <c r="H102" s="44">
        <v>31</v>
      </c>
      <c r="I102" s="45" t="str">
        <f t="shared" si="4"/>
        <v>令和8年8月31日</v>
      </c>
      <c r="J102" s="45">
        <f t="shared" si="1"/>
        <v>46265</v>
      </c>
    </row>
    <row r="103" spans="1:14">
      <c r="A103" s="47" t="str">
        <f t="shared" si="2"/>
        <v/>
      </c>
      <c r="B103" s="48" t="str">
        <f t="shared" si="3"/>
        <v/>
      </c>
      <c r="C103" s="46">
        <v>9</v>
      </c>
      <c r="D103" s="50">
        <f>IF(C$94&lt;C103,0,ROUNDDOWN((E$94-SUM(D104:D$106))/C103,-3))</f>
        <v>0</v>
      </c>
      <c r="G103" s="1">
        <v>9</v>
      </c>
      <c r="H103" s="44">
        <v>30</v>
      </c>
      <c r="I103" s="45" t="str">
        <f t="shared" si="4"/>
        <v>令和8年9月30日</v>
      </c>
      <c r="J103" s="45">
        <f t="shared" si="1"/>
        <v>46295</v>
      </c>
    </row>
    <row r="104" spans="1:14">
      <c r="A104" s="47" t="str">
        <f t="shared" si="2"/>
        <v/>
      </c>
      <c r="B104" s="48" t="str">
        <f t="shared" si="3"/>
        <v/>
      </c>
      <c r="C104" s="46">
        <v>10</v>
      </c>
      <c r="D104" s="50">
        <f>IF(C$94&lt;C104,0,ROUNDDOWN((E$94-SUM(D105:D$106))/C104,-3))</f>
        <v>0</v>
      </c>
      <c r="G104" s="1">
        <v>10</v>
      </c>
      <c r="H104" s="44">
        <v>31</v>
      </c>
      <c r="I104" s="45" t="str">
        <f t="shared" si="4"/>
        <v>令和8年10月31日</v>
      </c>
      <c r="J104" s="45">
        <f t="shared" si="1"/>
        <v>46328</v>
      </c>
    </row>
    <row r="105" spans="1:14">
      <c r="A105" s="47" t="str">
        <f t="shared" si="2"/>
        <v/>
      </c>
      <c r="B105" s="48" t="str">
        <f t="shared" si="3"/>
        <v/>
      </c>
      <c r="C105" s="46">
        <v>11</v>
      </c>
      <c r="D105" s="50">
        <f>IF(C$94&lt;C105,0,ROUNDDOWN((E$94-SUM(D106:D$106))/C105,-3))</f>
        <v>0</v>
      </c>
      <c r="G105" s="1">
        <v>11</v>
      </c>
      <c r="H105" s="44">
        <v>30</v>
      </c>
      <c r="I105" s="45" t="str">
        <f t="shared" si="4"/>
        <v>令和8年11月30日</v>
      </c>
      <c r="J105" s="45">
        <f t="shared" si="1"/>
        <v>46356</v>
      </c>
    </row>
    <row r="106" spans="1:14">
      <c r="A106" s="47" t="str">
        <f t="shared" si="2"/>
        <v/>
      </c>
      <c r="B106" s="48" t="str">
        <f t="shared" si="3"/>
        <v/>
      </c>
      <c r="C106" s="46">
        <v>12</v>
      </c>
      <c r="D106" s="50">
        <f>IF(C$94&lt;C106,0,ROUNDDOWN((E$94-SUM(D$106:D107))/C106,-3))</f>
        <v>0</v>
      </c>
      <c r="G106" s="1">
        <v>12</v>
      </c>
      <c r="H106" s="44">
        <v>26</v>
      </c>
      <c r="I106" s="45" t="str">
        <f t="shared" si="4"/>
        <v>令和8年12月26日</v>
      </c>
      <c r="J106" s="45">
        <f t="shared" si="1"/>
        <v>46384</v>
      </c>
    </row>
    <row r="107" spans="1:14" ht="19.5" thickBot="1"/>
    <row r="108" spans="1:14" ht="19.5" thickBot="1">
      <c r="B108" s="23" t="s">
        <v>102</v>
      </c>
      <c r="C108" s="54" t="s">
        <v>110</v>
      </c>
      <c r="D108" s="62" t="s">
        <v>102</v>
      </c>
      <c r="E108" s="63" t="s">
        <v>110</v>
      </c>
      <c r="F108" s="60" t="s">
        <v>102</v>
      </c>
      <c r="G108" s="23" t="s">
        <v>110</v>
      </c>
      <c r="H108" s="13"/>
      <c r="I108" t="s">
        <v>111</v>
      </c>
      <c r="J108" s="157">
        <v>6</v>
      </c>
      <c r="K108" s="13"/>
      <c r="M108" s="13"/>
      <c r="N108" s="13"/>
    </row>
    <row r="109" spans="1:14">
      <c r="B109" s="58">
        <f>作業・変換!B95</f>
        <v>46203</v>
      </c>
      <c r="C109" s="59">
        <f>作業・変換!D95</f>
        <v>0</v>
      </c>
      <c r="D109" s="64" t="str">
        <f>作業・変換!B99</f>
        <v/>
      </c>
      <c r="E109" s="65">
        <f>作業・変換!D99</f>
        <v>0</v>
      </c>
      <c r="F109" s="61" t="str">
        <f>作業・変換!B103</f>
        <v/>
      </c>
      <c r="G109" s="51">
        <f>作業・変換!D103</f>
        <v>0</v>
      </c>
      <c r="H109" s="52"/>
      <c r="J109" s="53"/>
      <c r="K109" s="53"/>
      <c r="M109" s="52"/>
      <c r="N109" s="52"/>
    </row>
    <row r="110" spans="1:14">
      <c r="B110" s="58" t="str">
        <f>作業・変換!B96</f>
        <v/>
      </c>
      <c r="C110" s="59">
        <f>作業・変換!D96</f>
        <v>0</v>
      </c>
      <c r="D110" s="64" t="str">
        <f>作業・変換!B100</f>
        <v/>
      </c>
      <c r="E110" s="65">
        <f>作業・変換!D100</f>
        <v>0</v>
      </c>
      <c r="F110" s="61" t="str">
        <f>作業・変換!B104</f>
        <v/>
      </c>
      <c r="G110" s="51">
        <f>作業・変換!D104</f>
        <v>0</v>
      </c>
      <c r="H110" s="52"/>
      <c r="J110" s="53"/>
      <c r="K110" s="53"/>
      <c r="M110" s="52"/>
      <c r="N110" s="52"/>
    </row>
    <row r="111" spans="1:14">
      <c r="B111" s="58" t="str">
        <f>作業・変換!B97</f>
        <v/>
      </c>
      <c r="C111" s="59">
        <f>作業・変換!D97</f>
        <v>0</v>
      </c>
      <c r="D111" s="64" t="str">
        <f>作業・変換!B101</f>
        <v/>
      </c>
      <c r="E111" s="65">
        <f>作業・変換!D101</f>
        <v>0</v>
      </c>
      <c r="F111" s="61" t="str">
        <f>作業・変換!B105</f>
        <v/>
      </c>
      <c r="G111" s="51">
        <f>作業・変換!D105</f>
        <v>0</v>
      </c>
      <c r="H111" s="52"/>
      <c r="J111" s="53"/>
      <c r="K111" s="53"/>
      <c r="M111" s="52"/>
      <c r="N111" s="52"/>
    </row>
    <row r="112" spans="1:14">
      <c r="B112" s="58" t="str">
        <f>作業・変換!B98</f>
        <v/>
      </c>
      <c r="C112" s="59">
        <f>作業・変換!D98</f>
        <v>0</v>
      </c>
      <c r="D112" s="64" t="str">
        <f>作業・変換!B102</f>
        <v/>
      </c>
      <c r="E112" s="65">
        <f>作業・変換!D102</f>
        <v>0</v>
      </c>
      <c r="F112" s="61" t="str">
        <f>作業・変換!B106</f>
        <v/>
      </c>
      <c r="G112" s="51">
        <f>作業・変換!D106</f>
        <v>0</v>
      </c>
      <c r="H112" s="52"/>
      <c r="J112" s="53"/>
      <c r="K112" s="53"/>
      <c r="M112" s="52"/>
      <c r="N112" s="52"/>
    </row>
  </sheetData>
  <sheetProtection algorithmName="SHA-512" hashValue="+jbgYkN9gN8nNpAT8roB/PppR/YGjMxWUx3d4H4u8HmfVdI4eenPBPA9cO0d4/i835arZNAJyCF7tXfD4LecxQ==" saltValue="fvAcIAhPd2zu6p0aiOlVHg==" spinCount="100000" sheet="1" objects="1" scenarios="1"/>
  <mergeCells count="22">
    <mergeCell ref="O48:Q48"/>
    <mergeCell ref="D85:G85"/>
    <mergeCell ref="D77:G77"/>
    <mergeCell ref="D78:G78"/>
    <mergeCell ref="D79:G79"/>
    <mergeCell ref="D80:G80"/>
    <mergeCell ref="A93:B93"/>
    <mergeCell ref="A19:C19"/>
    <mergeCell ref="A1:C1"/>
    <mergeCell ref="D91:G91"/>
    <mergeCell ref="A45:B45"/>
    <mergeCell ref="A76:B76"/>
    <mergeCell ref="D86:G86"/>
    <mergeCell ref="D87:G87"/>
    <mergeCell ref="D88:G88"/>
    <mergeCell ref="D89:G89"/>
    <mergeCell ref="D90:G90"/>
    <mergeCell ref="D81:G81"/>
    <mergeCell ref="D82:G82"/>
    <mergeCell ref="D83:G83"/>
    <mergeCell ref="A38:B38"/>
    <mergeCell ref="D84:G84"/>
  </mergeCells>
  <phoneticPr fontId="3"/>
  <dataValidations count="1">
    <dataValidation type="list" imeMode="disabled" allowBlank="1" showInputMessage="1" showErrorMessage="1" errorTitle="6～3月の範囲で入力してください。" prompt="多摩市が納税通知書を発送する月（通常、加入手続きした翌月）を入力すると、期別の参考額を計算します。（年度の最初は6月の発送、4・5月は新規の発送はありません）" sqref="J108" xr:uid="{00000000-0002-0000-0500-000000000000}">
      <formula1>"6,7,8,9,10,11,12,1,2,3"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この試算表の使い方</vt:lpstr>
      <vt:lpstr>基礎情報入力シート</vt:lpstr>
      <vt:lpstr>税額試算書</vt:lpstr>
      <vt:lpstr>参考資料</vt:lpstr>
      <vt:lpstr>税額計算情報</vt:lpstr>
      <vt:lpstr>作業・変換</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ｻﾀﾞｲｼ ﾄﾓﾋｺ</dc:creator>
  <cp:lastModifiedBy>定石　倫彦</cp:lastModifiedBy>
  <cp:lastPrinted>2024-12-02T07:55:29Z</cp:lastPrinted>
  <dcterms:created xsi:type="dcterms:W3CDTF">2023-03-29T04:00:44Z</dcterms:created>
  <dcterms:modified xsi:type="dcterms:W3CDTF">2026-04-06T09:29:24Z</dcterms:modified>
</cp:coreProperties>
</file>